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oleObject" PartName="/xl/embeddings/oleObject56.bin"/>
  <Override ContentType="application/vnd.openxmlformats-officedocument.oleObject" PartName="/xl/embeddings/oleObject48.bin"/>
  <Override ContentType="application/vnd.openxmlformats-officedocument.oleObject" PartName="/xl/embeddings/oleObject8.bin"/>
  <Override ContentType="application/vnd.openxmlformats-officedocument.oleObject" PartName="/xl/embeddings/oleObject30.bin"/>
  <Override ContentType="application/vnd.openxmlformats-officedocument.oleObject" PartName="/xl/embeddings/oleObject21.bin"/>
  <Override ContentType="application/vnd.openxmlformats-officedocument.oleObject" PartName="/xl/embeddings/oleObject22.bin"/>
  <Override ContentType="application/vnd.openxmlformats-officedocument.oleObject" PartName="/xl/embeddings/oleObject39.bin"/>
  <Override ContentType="application/vnd.openxmlformats-officedocument.oleObject" PartName="/xl/embeddings/oleObject13.bin"/>
  <Override ContentType="application/vnd.openxmlformats-officedocument.oleObject" PartName="/xl/embeddings/oleObject49.bin"/>
  <Override ContentType="application/vnd.openxmlformats-officedocument.oleObject" PartName="/xl/embeddings/oleObject57.bin"/>
  <Override ContentType="application/vnd.openxmlformats-officedocument.oleObject" PartName="/xl/embeddings/oleObject7.bin"/>
  <Override ContentType="application/vnd.openxmlformats-officedocument.oleObject" PartName="/xl/embeddings/oleObject31.bin"/>
  <Override ContentType="application/vnd.openxmlformats-officedocument.oleObject" PartName="/xl/embeddings/oleObject23.bin"/>
  <Override ContentType="application/vnd.openxmlformats-officedocument.oleObject" PartName="/xl/embeddings/oleObject40.bin"/>
  <Override ContentType="application/vnd.openxmlformats-officedocument.oleObject" PartName="/xl/embeddings/oleObject14.bin"/>
  <Override ContentType="application/vnd.openxmlformats-officedocument.oleObject" PartName="/xl/embeddings/oleObject32.bin"/>
  <Override ContentType="application/vnd.openxmlformats-officedocument.oleObject" PartName="/xl/embeddings/oleObject1.bin"/>
  <Override ContentType="application/vnd.openxmlformats-officedocument.oleObject" PartName="/xl/embeddings/oleObject62.bin"/>
  <Override ContentType="application/vnd.openxmlformats-officedocument.oleObject" PartName="/xl/embeddings/oleObject45.bin"/>
  <Override ContentType="application/vnd.openxmlformats-officedocument.oleObject" PartName="/xl/embeddings/oleObject28.bin"/>
  <Override ContentType="application/vnd.openxmlformats-officedocument.oleObject" PartName="/xl/embeddings/oleObject58.bin"/>
  <Override ContentType="application/vnd.openxmlformats-officedocument.oleObject" PartName="/xl/embeddings/oleObject15.bin"/>
  <Override ContentType="application/vnd.openxmlformats-officedocument.oleObject" PartName="/xl/embeddings/oleObject20.bin"/>
  <Override ContentType="application/vnd.openxmlformats-officedocument.oleObject" PartName="/xl/embeddings/oleObject50.bin"/>
  <Override ContentType="application/vnd.openxmlformats-officedocument.oleObject" PartName="/xl/embeddings/oleObject63.bin"/>
  <Override ContentType="application/vnd.openxmlformats-officedocument.oleObject" PartName="/xl/embeddings/oleObject46.bin"/>
  <Override ContentType="application/vnd.openxmlformats-officedocument.oleObject" PartName="/xl/embeddings/oleObject47.bin"/>
  <Override ContentType="application/vnd.openxmlformats-officedocument.oleObject" PartName="/xl/embeddings/oleObject33.bin"/>
  <Override ContentType="application/vnd.openxmlformats-officedocument.oleObject" PartName="/xl/embeddings/oleObject16.bin"/>
  <Override ContentType="application/vnd.openxmlformats-officedocument.oleObject" PartName="/xl/embeddings/oleObject9.bin"/>
  <Override ContentType="application/vnd.openxmlformats-officedocument.oleObject" PartName="/xl/embeddings/oleObject59.bin"/>
  <Override ContentType="application/vnd.openxmlformats-officedocument.oleObject" PartName="/xl/embeddings/oleObject29.bin"/>
  <Override ContentType="application/vnd.openxmlformats-officedocument.oleObject" PartName="/xl/embeddings/oleObject51.bin"/>
  <Override ContentType="application/vnd.openxmlformats-officedocument.oleObject" PartName="/xl/embeddings/oleObject18.bin"/>
  <Override ContentType="application/vnd.openxmlformats-officedocument.oleObject" PartName="/xl/embeddings/oleObject43.bin"/>
  <Override ContentType="application/vnd.openxmlformats-officedocument.oleObject" PartName="/xl/embeddings/oleObject4.bin"/>
  <Override ContentType="application/vnd.openxmlformats-officedocument.oleObject" PartName="/xl/embeddings/oleObject34.bin"/>
  <Override ContentType="application/vnd.openxmlformats-officedocument.oleObject" PartName="/xl/embeddings/oleObject35.bin"/>
  <Override ContentType="application/vnd.openxmlformats-officedocument.oleObject" PartName="/xl/embeddings/oleObject3.bin"/>
  <Override ContentType="application/vnd.openxmlformats-officedocument.oleObject" PartName="/xl/embeddings/oleObject17.bin"/>
  <Override ContentType="application/vnd.openxmlformats-officedocument.oleObject" PartName="/xl/embeddings/oleObject26.bin"/>
  <Override ContentType="application/vnd.openxmlformats-officedocument.oleObject" PartName="/xl/embeddings/oleObject52.bin"/>
  <Override ContentType="application/vnd.openxmlformats-officedocument.oleObject" PartName="/xl/embeddings/oleObject19.bin"/>
  <Override ContentType="application/vnd.openxmlformats-officedocument.oleObject" PartName="/xl/embeddings/oleObject44.bin"/>
  <Override ContentType="application/vnd.openxmlformats-officedocument.oleObject" PartName="/xl/embeddings/oleObject2.bin"/>
  <Override ContentType="application/vnd.openxmlformats-officedocument.oleObject" PartName="/xl/embeddings/oleObject36.bin"/>
  <Override ContentType="application/vnd.openxmlformats-officedocument.oleObject" PartName="/xl/embeddings/oleObject61.bin"/>
  <Override ContentType="application/vnd.openxmlformats-officedocument.oleObject" PartName="/xl/embeddings/oleObject53.bin"/>
  <Override ContentType="application/vnd.openxmlformats-officedocument.oleObject" PartName="/xl/embeddings/oleObject10.bin"/>
  <Override ContentType="application/vnd.openxmlformats-officedocument.oleObject" PartName="/xl/embeddings/oleObject27.bin"/>
  <Override ContentType="application/vnd.openxmlformats-officedocument.oleObject" PartName="/xl/embeddings/oleObject6.bin"/>
  <Override ContentType="application/vnd.openxmlformats-officedocument.oleObject" PartName="/xl/embeddings/oleObject37.bin"/>
  <Override ContentType="application/vnd.openxmlformats-officedocument.oleObject" PartName="/xl/embeddings/oleObject41.bin"/>
  <Override ContentType="application/vnd.openxmlformats-officedocument.oleObject" PartName="/xl/embeddings/oleObject11.bin"/>
  <Override ContentType="application/vnd.openxmlformats-officedocument.oleObject" PartName="/xl/embeddings/oleObject24.bin"/>
  <Override ContentType="application/vnd.openxmlformats-officedocument.oleObject" PartName="/xl/embeddings/oleObject54.bin"/>
  <Override ContentType="application/vnd.openxmlformats-officedocument.oleObject" PartName="/xl/embeddings/oleObject25.bin"/>
  <Override ContentType="application/vnd.openxmlformats-officedocument.oleObject" PartName="/xl/embeddings/oleObject38.bin"/>
  <Override ContentType="application/vnd.openxmlformats-officedocument.oleObject" PartName="/xl/embeddings/oleObject5.bin"/>
  <Override ContentType="application/vnd.openxmlformats-officedocument.oleObject" PartName="/xl/embeddings/oleObject60.bin"/>
  <Override ContentType="application/vnd.openxmlformats-officedocument.oleObject" PartName="/xl/embeddings/oleObject42.bin"/>
  <Override ContentType="application/vnd.openxmlformats-officedocument.oleObject" PartName="/xl/embeddings/oleObject12.bin"/>
  <Override ContentType="application/vnd.openxmlformats-officedocument.oleObject" PartName="/xl/embeddings/oleObject55.bin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ập Rs thep CV240,300,400 " sheetId="1" r:id="rId4"/>
    <sheet state="visible" name="Nhập dữ liệu" sheetId="2" r:id="rId5"/>
    <sheet state="visible" name="Tính Bản" sheetId="3" r:id="rId6"/>
    <sheet state="visible" name="Tính dầm phụ" sheetId="4" r:id="rId7"/>
    <sheet state="visible" name="Tính dầm chính" sheetId="5" r:id="rId8"/>
    <sheet state="visible" name="TINH Q DAM CHINH" sheetId="6" r:id="rId9"/>
  </sheets>
  <definedNames/>
  <calcPr/>
  <extLst>
    <ext uri="GoogleSheetsCustomDataVersion2">
      <go:sheetsCustomData xmlns:go="http://customooxmlschemas.google.com/" r:id="rId10" roundtripDataChecksum="OMSZl+d60b18GKQOBV6P2lYTC3jhxDA4YNZS4ynrP8s="/>
    </ext>
  </extLst>
</workbook>
</file>

<file path=xl/sharedStrings.xml><?xml version="1.0" encoding="utf-8"?>
<sst xmlns="http://schemas.openxmlformats.org/spreadsheetml/2006/main" count="1588" uniqueCount="892">
  <si>
    <t>THUYẾT MINH ĐỒ ÁN SÀN SƯỜN BÊ TÔNG CỐT THÉP TOÀN KHỐI</t>
  </si>
  <si>
    <t>I.</t>
  </si>
  <si>
    <t>SỐ LIỆU TÍNH TOÁN</t>
  </si>
  <si>
    <t>III.</t>
  </si>
  <si>
    <t>KS. VŨ ĐỒ ÁN. SĐT 0979860286</t>
  </si>
  <si>
    <t>TÍNH DẦM PHỤ</t>
  </si>
  <si>
    <t>1,</t>
  </si>
  <si>
    <t>Sơ đồ tính</t>
  </si>
  <si>
    <t>1, Sơ đồ kết cấu sàn</t>
  </si>
  <si>
    <t>(theo hình vẽ)</t>
  </si>
  <si>
    <t xml:space="preserve">- Dầm phụ là dầm liên tục </t>
  </si>
  <si>
    <t>nhịp đối xứng.</t>
  </si>
  <si>
    <t>CHUYÊN HD ĐỒ ÁN BÊ TÔNG 1, ÔN THI MÔN HỌC BÊ TÔNG 1, CƠ HỌC ĐẤT</t>
  </si>
  <si>
    <t>- Xét một nửa dầm bên trái của dầm (hình vẽ)</t>
  </si>
  <si>
    <t xml:space="preserve">- Dầm gối lên tường một đoạn không nhỏ hơn 220 mm vì vậy trong tính toán lấy </t>
  </si>
  <si>
    <t>NHẬP SỐ LIỆU ĐƯỢC GIAO</t>
  </si>
  <si>
    <r>
      <rPr>
        <rFont val="Arial"/>
        <color theme="1"/>
        <sz val="12.0"/>
      </rPr>
      <t>S</t>
    </r>
    <r>
      <rPr>
        <rFont val="Arial"/>
        <color theme="1"/>
        <sz val="12.0"/>
        <vertAlign val="subscript"/>
      </rPr>
      <t>d</t>
    </r>
    <r>
      <rPr>
        <rFont val="Arial"/>
        <color theme="1"/>
        <sz val="12.0"/>
      </rPr>
      <t xml:space="preserve"> =</t>
    </r>
  </si>
  <si>
    <t>mm.</t>
  </si>
  <si>
    <t xml:space="preserve">- Bề rộng của dầm chính </t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</si>
  <si>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dc</t>
    </r>
    <r>
      <rPr>
        <rFont val="Arial"/>
        <color theme="1"/>
        <sz val="12.0"/>
      </rPr>
      <t>=</t>
    </r>
  </si>
  <si>
    <t>I:</t>
  </si>
  <si>
    <t>mm</t>
  </si>
  <si>
    <t>* Nhịp tính toán của dầm phụ:</t>
  </si>
  <si>
    <t>- Nhịp biên:</t>
  </si>
  <si>
    <t>-</t>
  </si>
  <si>
    <t>-------    -</t>
  </si>
  <si>
    <t>-------- +</t>
  </si>
  <si>
    <t>--------  =</t>
  </si>
  <si>
    <t>L1 
(m)</t>
  </si>
  <si>
    <t>L2 
(m)</t>
  </si>
  <si>
    <t>Tiết diện cột</t>
  </si>
  <si>
    <t>m</t>
  </si>
  <si>
    <t>Hoạt tải tiêu chuẩn</t>
  </si>
  <si>
    <t xml:space="preserve">Cấp độ bền 
</t>
  </si>
  <si>
    <t>- Nhịp giữa:</t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</si>
  <si>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c</t>
    </r>
    <r>
      <rPr>
        <rFont val="Arial"/>
        <color theme="1"/>
        <sz val="12.0"/>
      </rPr>
      <t xml:space="preserve"> x h</t>
    </r>
    <r>
      <rPr>
        <rFont val="Arial"/>
        <color theme="1"/>
        <sz val="12.0"/>
        <vertAlign val="subscript"/>
      </rPr>
      <t>c</t>
    </r>
  </si>
  <si>
    <t>(mm)</t>
  </si>
  <si>
    <r>
      <rPr>
        <rFont val="Arial"/>
        <color theme="1"/>
        <sz val="12.0"/>
      </rPr>
      <t>l</t>
    </r>
    <r>
      <rPr>
        <rFont val="Arial"/>
        <color theme="1"/>
        <sz val="12.0"/>
        <vertAlign val="subscript"/>
      </rPr>
      <t>p</t>
    </r>
    <r>
      <rPr>
        <rFont val="Arial"/>
        <color theme="1"/>
        <sz val="12.0"/>
      </rPr>
      <t xml:space="preserve"> = l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– b</t>
    </r>
    <r>
      <rPr>
        <rFont val="Arial"/>
        <color theme="1"/>
        <sz val="12.0"/>
        <vertAlign val="subscript"/>
      </rPr>
      <t>dc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</si>
  <si>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perscript"/>
      </rPr>
      <t>tc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</si>
  <si>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</si>
  <si>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t>=</t>
  </si>
  <si>
    <t xml:space="preserve"> của bêtông</t>
  </si>
  <si>
    <t>m.</t>
  </si>
  <si>
    <t>II.</t>
  </si>
  <si>
    <t>TÍNH BẢN</t>
  </si>
  <si>
    <t>- Chênh lệch giữa các nhịp:</t>
  </si>
  <si>
    <t>(</t>
  </si>
  <si>
    <t>). 100%</t>
  </si>
  <si>
    <t>Chọn kích thước các cấu kiện</t>
  </si>
  <si>
    <t>&lt; 10%</t>
  </si>
  <si>
    <t>B</t>
  </si>
  <si>
    <t>- Chiều dày của bản:</t>
  </si>
  <si>
    <t>------------</t>
  </si>
  <si>
    <t>mm;</t>
  </si>
  <si>
    <t xml:space="preserve">Chọn 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</si>
  <si>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>=</t>
    </r>
  </si>
  <si>
    <t>Hệ số vượt tải của hoạt tải:        n =</t>
  </si>
  <si>
    <t>Dầm phụ mấy nhịp :</t>
  </si>
  <si>
    <t>nhịp</t>
  </si>
  <si>
    <t>Dầm chính mấy nhịp :</t>
  </si>
  <si>
    <t>Trong đó   D =</t>
  </si>
  <si>
    <t>với tải trọng trung bình, m =</t>
  </si>
  <si>
    <t>với bản liên tục.</t>
  </si>
  <si>
    <t>- Chọn tiết diện dầm phụ:</t>
  </si>
  <si>
    <t>Bề dày tường là :</t>
  </si>
  <si>
    <t>2,</t>
  </si>
  <si>
    <t>Tải trọng tính toán</t>
  </si>
  <si>
    <t>* Tĩnh tải</t>
  </si>
  <si>
    <t>- Tải trọng bản thân dầm  (không kể phần bản dày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</si>
  <si>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</si>
  <si>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>=</t>
    </r>
  </si>
  <si>
    <t>mm):</t>
  </si>
  <si>
    <t>các lớp hoàn thiện sàn</t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</si>
  <si>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odc</t>
    </r>
    <r>
      <rPr>
        <rFont val="Arial"/>
        <color theme="1"/>
        <sz val="12.0"/>
      </rPr>
      <t>= b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(h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–h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>).</t>
    </r>
    <r>
      <rPr>
        <rFont val="Symbol"/>
        <color theme="1"/>
        <sz val="12.0"/>
      </rPr>
      <t>g</t>
    </r>
    <r>
      <rPr>
        <rFont val="Arial"/>
        <color theme="1"/>
        <sz val="12.0"/>
      </rPr>
      <t>.n =</t>
    </r>
  </si>
  <si>
    <t>bề dày</t>
  </si>
  <si>
    <t xml:space="preserve">dung
trọng </t>
  </si>
  <si>
    <t>.   (</t>
  </si>
  <si>
    <t>hệ số</t>
  </si>
  <si>
    <t>) .</t>
  </si>
  <si>
    <t>kN/m</t>
  </si>
  <si>
    <t>- Tĩnh tải truyền từ bản:</t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</si>
  <si>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3</t>
    </r>
    <r>
      <rPr>
        <rFont val="Arial"/>
        <color theme="1"/>
        <sz val="12.0"/>
      </rPr>
      <t>)</t>
    </r>
  </si>
  <si>
    <t>vượt tải</t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</si>
  <si>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. l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=</t>
    </r>
  </si>
  <si>
    <t>x</t>
  </si>
  <si>
    <t>- Chọn tiết diện dầm chính:</t>
  </si>
  <si>
    <t xml:space="preserve">Lớp gạch lát dày </t>
  </si>
  <si>
    <t>- Tĩnh tải toàn phần:</t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</si>
  <si>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g</t>
    </r>
    <r>
      <rPr>
        <rFont val="Arial"/>
        <color theme="1"/>
        <sz val="12.0"/>
        <vertAlign val="subscript"/>
      </rPr>
      <t>odp</t>
    </r>
    <r>
      <rPr>
        <rFont val="Arial"/>
        <color theme="1"/>
        <sz val="12.0"/>
      </rPr>
      <t xml:space="preserve"> +g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>l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=</t>
    </r>
  </si>
  <si>
    <t>+</t>
  </si>
  <si>
    <t>kN/m.</t>
  </si>
  <si>
    <t>* Hoạt tải</t>
  </si>
  <si>
    <t xml:space="preserve">Lớp vữa lót </t>
  </si>
  <si>
    <r>
      <rPr>
        <rFont val="Arial"/>
        <color theme="1"/>
        <sz val="8.0"/>
      </rPr>
      <t>x</t>
    </r>
    <r>
      <rPr>
        <rFont val="Arial"/>
        <color theme="1"/>
        <sz val="12.0"/>
      </rPr>
      <t xml:space="preserve"> 3 </t>
    </r>
    <r>
      <rPr>
        <rFont val="Arial"/>
        <color theme="1"/>
        <sz val="8.0"/>
      </rPr>
      <t>x</t>
    </r>
  </si>
  <si>
    <t>- Hoạt tải truyền từ bản:</t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</si>
  <si>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p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>.l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= </t>
    </r>
  </si>
  <si>
    <t xml:space="preserve">mm; 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</si>
  <si>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dc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</si>
  <si>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dc</t>
    </r>
    <r>
      <rPr>
        <rFont val="Arial"/>
        <color theme="1"/>
        <sz val="12.0"/>
      </rPr>
      <t>=</t>
    </r>
  </si>
  <si>
    <t>Sàn bêtông cốt thép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</si>
  <si>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b</t>
    </r>
  </si>
  <si>
    <t>* Tải trọng tính toán toàn phần:</t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</si>
  <si>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g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+ p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</t>
    </r>
  </si>
  <si>
    <t>Lớp vữa trát trần</t>
  </si>
  <si>
    <t>- Tỷ số:</t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</si>
  <si>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bscript"/>
      </rPr>
      <t>dp</t>
    </r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</si>
  <si>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</t>
    </r>
  </si>
  <si>
    <t>II:</t>
  </si>
  <si>
    <t>VẬT LIỆU SỬ DỤNG</t>
  </si>
  <si>
    <t>- Xét tỷ số 2 cạnh ô bản:</t>
  </si>
  <si>
    <t>---------- =</t>
  </si>
  <si>
    <t>3, Nội lực tính toán</t>
  </si>
  <si>
    <t>a, Mômen uốn</t>
  </si>
  <si>
    <t>- Thép bản và đai dầm dùng nhóm :</t>
  </si>
  <si>
    <t>- Tung độ hình bao mômen ( nhánh dương):</t>
  </si>
  <si>
    <t>CI</t>
  </si>
  <si>
    <t>- Thép dọc dầm dùng nhóm :</t>
  </si>
  <si>
    <t>+,</t>
  </si>
  <si>
    <t>Tại nhịp biên:</t>
  </si>
  <si>
    <t>- Cắt một dải bản rộng b =</t>
  </si>
  <si>
    <t>CII</t>
  </si>
  <si>
    <t>mm, vuông góc với dầm phụ và xem dải bản làm việc như một dầm liên tục</t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</si>
  <si>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 xml:space="preserve">1 </t>
    </r>
    <r>
      <rPr>
        <rFont val="Arial"/>
        <color theme="1"/>
        <sz val="12.0"/>
      </rPr>
      <t>.</t>
    </r>
  </si>
  <si>
    <t>kNm</t>
  </si>
  <si>
    <t>( hình vẽ 1a, 2b)</t>
  </si>
  <si>
    <t>2, Kích thước</t>
  </si>
  <si>
    <t>Tại nhịp giữa:</t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</si>
  <si>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 xml:space="preserve">1 </t>
    </r>
    <r>
      <rPr>
        <rFont val="Arial"/>
        <color theme="1"/>
        <sz val="12.0"/>
      </rPr>
      <t>.</t>
    </r>
  </si>
  <si>
    <t>Nhịp tính toán của bản: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</si>
  <si>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</si>
  <si>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 xml:space="preserve">Tính từ trục tường và trục dầm: L1 = </t>
  </si>
  <si>
    <t>- Tung độ hình bao mômen ( nhánh âm):</t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</si>
  <si>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 xml:space="preserve">2 </t>
    </r>
    <r>
      <rPr>
        <rFont val="Arial"/>
        <color theme="1"/>
        <sz val="12.0"/>
      </rPr>
      <t>.</t>
    </r>
  </si>
  <si>
    <t>m;</t>
  </si>
  <si>
    <t>L2 =</t>
  </si>
  <si>
    <t xml:space="preserve">Tra phụ lục 11 quyển " SÀN SƯỜN BÊ TÔNG CỐT THÉP TOÀN KHỐI", với tỷ số </t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</si>
  <si>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bscript"/>
      </rPr>
      <t>dp</t>
    </r>
  </si>
  <si>
    <t>/</t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</si>
  <si>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</t>
    </r>
  </si>
  <si>
    <t xml:space="preserve">- Nhịp biên: </t>
  </si>
  <si>
    <t>-  --------  -  --------  + -------- =</t>
  </si>
  <si>
    <t>có hệ số      k =</t>
  </si>
  <si>
    <t>Tường chịu lực có chiều dày</t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</si>
  <si>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t</t>
    </r>
    <r>
      <rPr>
        <rFont val="Arial"/>
        <color theme="1"/>
        <sz val="12.0"/>
      </rPr>
      <t xml:space="preserve"> =</t>
    </r>
  </si>
  <si>
    <t xml:space="preserve">và các hệ số </t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</si>
  <si>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 xml:space="preserve">1 </t>
    </r>
    <r>
      <rPr>
        <rFont val="Arial"/>
        <color theme="1"/>
        <sz val="12.0"/>
      </rPr>
      <t xml:space="preserve">, </t>
    </r>
    <r>
      <rPr>
        <rFont val="Symbol"/>
        <color theme="1"/>
        <sz val="12.0"/>
      </rPr>
      <t>b</t>
    </r>
    <r>
      <rPr>
        <rFont val="Arial"/>
        <color theme="1"/>
        <sz val="12.0"/>
        <vertAlign val="subscript"/>
      </rPr>
      <t xml:space="preserve">2 </t>
    </r>
  </si>
  <si>
    <t>kết quả tính toán được trình bày trong bảng 3.1</t>
  </si>
  <si>
    <r>
      <rPr>
        <rFont val="Arial"/>
        <color theme="1"/>
        <sz val="12.0"/>
      </rPr>
      <t>Cột bê tông cốt thép có tiết diện b</t>
    </r>
    <r>
      <rPr>
        <rFont val="Arial"/>
        <color theme="1"/>
        <sz val="12.0"/>
        <vertAlign val="subscript"/>
      </rPr>
      <t>c</t>
    </r>
    <r>
      <rPr>
        <rFont val="Arial"/>
        <color theme="1"/>
        <sz val="12.0"/>
      </rPr>
      <t xml:space="preserve"> x h</t>
    </r>
    <r>
      <rPr>
        <rFont val="Arial"/>
        <color theme="1"/>
        <sz val="12.0"/>
        <vertAlign val="subscript"/>
      </rPr>
      <t xml:space="preserve">c </t>
    </r>
  </si>
  <si>
    <t>Bảng 3.1. Tính toán hình bao mômen của dầm phụ</t>
  </si>
  <si>
    <r>
      <rPr>
        <rFont val="Arial"/>
        <color theme="1"/>
        <sz val="12.0"/>
      </rPr>
      <t>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l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– b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</t>
    </r>
  </si>
  <si>
    <t>3, Cấu tạo mặt sàn</t>
  </si>
  <si>
    <t>giá trị</t>
  </si>
  <si>
    <t>b</t>
  </si>
  <si>
    <t>Tung độ M (kNm)</t>
  </si>
  <si>
    <t>Nhịp</t>
  </si>
  <si>
    <t>tiết diện</t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</si>
  <si>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>1</t>
    </r>
  </si>
  <si>
    <r>
      <rPr>
        <rFont val="Noto Sans Symbols"/>
        <color theme="1"/>
        <sz val="12.0"/>
      </rPr>
      <t>b</t>
    </r>
    <r>
      <rPr>
        <rFont val="Arial"/>
        <color theme="1"/>
        <sz val="12.0"/>
        <vertAlign val="subscript"/>
      </rPr>
      <t>2</t>
    </r>
  </si>
  <si>
    <r>
      <rPr>
        <rFont val="Noto Sans Symbols"/>
        <color theme="1"/>
        <sz val="12.0"/>
      </rPr>
      <t>M</t>
    </r>
    <r>
      <rPr>
        <rFont val="Symbol"/>
        <color theme="1"/>
        <sz val="12.0"/>
        <vertAlign val="superscript"/>
      </rPr>
      <t>+</t>
    </r>
  </si>
  <si>
    <t>Gồm 4 lớp như hình vẽ</t>
  </si>
  <si>
    <r>
      <rPr>
        <rFont val="Noto Sans Symbols"/>
        <color theme="1"/>
        <sz val="12.0"/>
      </rPr>
      <t>M</t>
    </r>
    <r>
      <rPr>
        <rFont val="Symbol"/>
        <color theme="1"/>
        <sz val="12.0"/>
        <vertAlign val="superscript"/>
      </rPr>
      <t>-</t>
    </r>
  </si>
  <si>
    <t>- Chênh lệch giữa các nhịp là:</t>
  </si>
  <si>
    <t>------------------------------------ . 100 % =</t>
  </si>
  <si>
    <t>biên</t>
  </si>
  <si>
    <t xml:space="preserve">Gối </t>
  </si>
  <si>
    <t>3,</t>
  </si>
  <si>
    <t>0,425.l</t>
  </si>
  <si>
    <t>Tải trọng của bản gồm tĩnh tả và hoạt tải</t>
  </si>
  <si>
    <t>Tĩnh tải được tính toán theo bảng 2.1</t>
  </si>
  <si>
    <t xml:space="preserve">Gối 2   - </t>
  </si>
  <si>
    <t>td5</t>
  </si>
  <si>
    <t>Bảng 2.1. Xác định tĩnh tải</t>
  </si>
  <si>
    <t>dung</t>
  </si>
  <si>
    <t>Các lớp cấu tạo bản</t>
  </si>
  <si>
    <t>trọng</t>
  </si>
  <si>
    <t>giá trị tiêu chuẩn</t>
  </si>
  <si>
    <t xml:space="preserve">độ tin cậy </t>
  </si>
  <si>
    <t>giá trị tính toán</t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</si>
  <si>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3</t>
    </r>
    <r>
      <rPr>
        <rFont val="Arial"/>
        <color theme="1"/>
        <sz val="12.0"/>
      </rPr>
      <t>)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</si>
  <si>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</si>
  <si>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</si>
  <si>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t>Lớp gạch lát</t>
  </si>
  <si>
    <t>0,5.l</t>
  </si>
  <si>
    <t>Lớp vữa lót</t>
  </si>
  <si>
    <t xml:space="preserve">Sàn bê tông cốt thép </t>
  </si>
  <si>
    <t>Tổng cộng</t>
  </si>
  <si>
    <t xml:space="preserve">Lấy  </t>
  </si>
  <si>
    <r>
      <rPr>
        <rFont val="Arial"/>
        <color theme="1"/>
        <sz val="12.0"/>
      </rPr>
      <t>g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</si>
  <si>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</si>
  <si>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t xml:space="preserve">Hoạt tải </t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</si>
  <si>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</si>
  <si>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perscript"/>
      </rPr>
      <t xml:space="preserve">tc </t>
    </r>
    <r>
      <rPr>
        <rFont val="Arial"/>
        <color theme="1"/>
        <sz val="12.0"/>
        <vertAlign val="subscript"/>
      </rPr>
      <t>x</t>
    </r>
    <r>
      <rPr>
        <rFont val="Arial"/>
        <color theme="1"/>
        <sz val="12.0"/>
      </rPr>
      <t>n =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</si>
  <si>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</si>
  <si>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t>Tải trọng toàn phần :</t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</si>
  <si>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 g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+ p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</si>
  <si>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(kN/m</t>
    </r>
    <r>
      <rPr>
        <rFont val="Arial"/>
        <color theme="1"/>
        <sz val="12.0"/>
        <vertAlign val="superscript"/>
      </rPr>
      <t>2</t>
    </r>
    <r>
      <rPr>
        <rFont val="Arial"/>
        <color theme="1"/>
        <sz val="12.0"/>
      </rPr>
      <t>)</t>
    </r>
  </si>
  <si>
    <t xml:space="preserve">Tính toán với dải bản rộng </t>
  </si>
  <si>
    <r>
      <rPr>
        <rFont val="Arial"/>
        <color theme="1"/>
        <sz val="12.0"/>
      </rPr>
      <t>b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</si>
  <si>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</si>
  <si>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kN/m</t>
    </r>
    <r>
      <rPr>
        <rFont val="Arial"/>
        <color theme="1"/>
        <sz val="12.0"/>
        <vertAlign val="superscript"/>
      </rPr>
      <t>2</t>
    </r>
  </si>
  <si>
    <t xml:space="preserve">x </t>
  </si>
  <si>
    <t>m     =</t>
  </si>
  <si>
    <t>4,</t>
  </si>
  <si>
    <t>Nội lực tính toán</t>
  </si>
  <si>
    <t xml:space="preserve">4, </t>
  </si>
  <si>
    <t>Vật liệu</t>
  </si>
  <si>
    <t>-  Bê tông cấp độ bền       B</t>
  </si>
  <si>
    <t>theo cường độ chịu nén có:</t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</si>
  <si>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</si>
  <si>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t>Mpa;</t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</si>
  <si>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bt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</si>
  <si>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E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</si>
  <si>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.10^</t>
    </r>
    <r>
      <rPr>
        <rFont val="Arial"/>
        <color theme="1"/>
        <sz val="12.0"/>
        <vertAlign val="superscript"/>
      </rPr>
      <t>3</t>
    </r>
  </si>
  <si>
    <t>- Tiết diện có mômen dương bằng 0 cách gối tựa một đoạn:</t>
  </si>
  <si>
    <r>
      <rPr>
        <rFont val="Arial"/>
        <color theme="1"/>
        <sz val="12.0"/>
      </rPr>
      <t>0,15.l</t>
    </r>
    <r>
      <rPr>
        <rFont val="Arial"/>
        <color theme="1"/>
        <sz val="12.0"/>
        <vertAlign val="subscript"/>
      </rPr>
      <t>pb</t>
    </r>
    <r>
      <rPr>
        <rFont val="Arial"/>
        <color theme="1"/>
        <sz val="12.0"/>
      </rPr>
      <t xml:space="preserve"> =</t>
    </r>
  </si>
  <si>
    <t>- Cốt thép bản và đai dầm nhóm CB 240T</t>
  </si>
  <si>
    <t>có :</t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</si>
  <si>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</si>
  <si>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0,15.l</t>
    </r>
    <r>
      <rPr>
        <rFont val="Arial"/>
        <color theme="1"/>
        <sz val="12.0"/>
        <vertAlign val="subscript"/>
      </rPr>
      <t>p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</si>
  <si>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sc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</si>
  <si>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sw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</si>
  <si>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E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=</t>
    </r>
  </si>
  <si>
    <t>- Tiết diện có mômen âm bằng 0 cách bên trái gối thứ hai một đoạn:</t>
  </si>
  <si>
    <r>
      <rPr>
        <rFont val="Arial"/>
        <color theme="1"/>
        <sz val="12.0"/>
      </rPr>
      <t>x = k.l</t>
    </r>
    <r>
      <rPr>
        <rFont val="Arial"/>
        <color theme="1"/>
        <sz val="12.0"/>
        <vertAlign val="subscript"/>
      </rPr>
      <t>pb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</si>
  <si>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.10^</t>
    </r>
    <r>
      <rPr>
        <rFont val="Arial"/>
        <color theme="1"/>
        <sz val="12.0"/>
        <vertAlign val="superscript"/>
      </rPr>
      <t>4</t>
    </r>
  </si>
  <si>
    <t>- Cốt thép dọc dầm nhóm CB 300V hoặc CB 400V</t>
  </si>
  <si>
    <t>b, Lực cắt</t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</si>
  <si>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</si>
  <si>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sc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</si>
  <si>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sw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</si>
  <si>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E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</si>
  <si>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.10^</t>
    </r>
    <r>
      <rPr>
        <rFont val="Arial"/>
        <color theme="1"/>
        <sz val="12.0"/>
        <vertAlign val="superscript"/>
      </rPr>
      <t>4</t>
    </r>
  </si>
  <si>
    <t>kN;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</si>
  <si>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.</t>
  </si>
  <si>
    <t>4, Tính cốt thép dọc</t>
  </si>
  <si>
    <t>Bêtông cấp độ bền   B</t>
  </si>
  <si>
    <r>
      <rPr>
        <rFont val="Arial"/>
        <color theme="1"/>
        <sz val="12.0"/>
      </rPr>
      <t>có R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</si>
  <si>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t>Mpa ;</t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</si>
  <si>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bt</t>
    </r>
    <r>
      <rPr>
        <rFont val="Arial"/>
        <color theme="1"/>
        <sz val="12.0"/>
      </rPr>
      <t xml:space="preserve"> =</t>
    </r>
  </si>
  <si>
    <t>cốt thép dọc nhóm</t>
  </si>
  <si>
    <r>
      <rPr>
        <rFont val="Arial"/>
        <color theme="1"/>
        <sz val="12.0"/>
      </rPr>
      <t>có R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</si>
  <si>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R</t>
    </r>
    <r>
      <rPr>
        <rFont val="Arial"/>
        <color theme="1"/>
        <sz val="12.0"/>
        <vertAlign val="subscript"/>
      </rPr>
      <t>sc</t>
    </r>
    <r>
      <rPr>
        <rFont val="Arial"/>
        <color theme="1"/>
        <sz val="12.0"/>
      </rPr>
      <t xml:space="preserve"> =</t>
    </r>
  </si>
  <si>
    <t>cốt đai dùng nhóm</t>
  </si>
  <si>
    <t>.</t>
  </si>
  <si>
    <t>a, Với mômen âm</t>
  </si>
  <si>
    <t>Tính theo tiết diện chữ nhật</t>
  </si>
  <si>
    <t>b =</t>
  </si>
  <si>
    <t>h =</t>
  </si>
  <si>
    <t>Giả thiết a =</t>
  </si>
  <si>
    <t xml:space="preserve">mm,   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</si>
  <si>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</si>
  <si>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t>*</t>
  </si>
  <si>
    <t>Tại gối 2, với M =</t>
  </si>
  <si>
    <t>kNm,</t>
  </si>
  <si>
    <t>------------------------------------------------------------------------- =</t>
  </si>
  <si>
    <t xml:space="preserve">- Mômen uốn tại nhịp biên và gối thứ 2: </t>
  </si>
  <si>
    <t>----------------------------------- =</t>
  </si>
  <si>
    <t>±</t>
  </si>
  <si>
    <t xml:space="preserve">- Mômen uốn tại nhịp giữa và gối giữa: </t>
  </si>
  <si>
    <t>--------------------------------------------------- =</t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</si>
  <si>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</si>
  <si>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---------------------------------------------- .100%</t>
  </si>
  <si>
    <t>- Giá trị lực cắt:</t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</si>
  <si>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M</t>
    </r>
    <r>
      <rPr>
        <rFont val="Arial"/>
        <color theme="1"/>
        <sz val="12.0"/>
      </rPr>
      <t xml:space="preserve"> = 0,4 x q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x l</t>
    </r>
    <r>
      <rPr>
        <rFont val="Arial"/>
        <color theme="1"/>
        <sz val="12.0"/>
        <vertAlign val="subscript"/>
      </rPr>
      <t xml:space="preserve">ob </t>
    </r>
    <r>
      <rPr>
        <rFont val="Arial"/>
        <color theme="1"/>
        <sz val="12.0"/>
      </rPr>
      <t>=</t>
    </r>
  </si>
  <si>
    <t>kN</t>
  </si>
  <si>
    <r>
      <rPr>
        <rFont val="Arial"/>
        <color theme="1"/>
        <sz val="12.0"/>
      </rPr>
      <t xml:space="preserve">  0,6 x q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x l</t>
    </r>
    <r>
      <rPr>
        <rFont val="Arial"/>
        <color theme="1"/>
        <sz val="12.0"/>
        <vertAlign val="subscript"/>
      </rPr>
      <t xml:space="preserve">ob 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</si>
  <si>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>0,5 x q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x l</t>
    </r>
    <r>
      <rPr>
        <rFont val="Arial"/>
        <color theme="1"/>
        <sz val="12.0"/>
        <vertAlign val="subscript"/>
      </rPr>
      <t xml:space="preserve">o </t>
    </r>
    <r>
      <rPr>
        <rFont val="Arial"/>
        <color theme="1"/>
        <sz val="12.0"/>
      </rPr>
      <t>=</t>
    </r>
  </si>
  <si>
    <t>b, Với mômen dương</t>
  </si>
  <si>
    <t>Tính theo tiết diện chữ T, có cánh nằm trong vùng nén, bề dày cánh</t>
  </si>
  <si>
    <r>
      <rPr>
        <rFont val="Arial"/>
        <i/>
        <color theme="1"/>
        <sz val="12.0"/>
      </rPr>
      <t>h’</t>
    </r>
    <r>
      <rPr>
        <rFont val="Arial"/>
        <i/>
        <color theme="1"/>
        <sz val="12.0"/>
        <vertAlign val="subscript"/>
      </rPr>
      <t xml:space="preserve">f </t>
    </r>
    <r>
      <rPr>
        <rFont val="Arial"/>
        <i/>
        <color theme="1"/>
        <sz val="12.0"/>
      </rPr>
      <t>=</t>
    </r>
  </si>
  <si>
    <t>5,</t>
  </si>
  <si>
    <t>Tính cốt thép chịu mômen uốn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</si>
  <si>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</si>
  <si>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t>Chọn a =</t>
  </si>
  <si>
    <t>mm cho mọi tiết diện, chiều cao làm việc của bản:</t>
  </si>
  <si>
    <t>Độ vươn của cánh</t>
  </si>
  <si>
    <r>
      <rPr>
        <rFont val="Arial"/>
        <color theme="1"/>
        <sz val="12.0"/>
      </rPr>
      <t>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= </t>
    </r>
  </si>
  <si>
    <t>lấy không lớn hơn giá trị bé nhất trong các trị số sau: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</si>
  <si>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h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– a =</t>
    </r>
  </si>
  <si>
    <t xml:space="preserve">+, </t>
  </si>
  <si>
    <r>
      <rPr>
        <rFont val="Arial"/>
        <color theme="1"/>
        <sz val="12.0"/>
      </rPr>
      <t>(1/6).l</t>
    </r>
    <r>
      <rPr>
        <rFont val="Arial"/>
        <color theme="1"/>
        <sz val="12.0"/>
        <vertAlign val="subscript"/>
      </rPr>
      <t>p</t>
    </r>
    <r>
      <rPr>
        <rFont val="Arial"/>
        <color theme="1"/>
        <sz val="12.0"/>
      </rPr>
      <t xml:space="preserve"> = </t>
    </r>
  </si>
  <si>
    <t>Tại gối biên và nhịp biên, với M =</t>
  </si>
  <si>
    <t>kNm;</t>
  </si>
  <si>
    <t>Một nửa khoảng cách thông thủy giữa hai dầm phụ cạnh nhau:</t>
  </si>
  <si>
    <r>
      <rPr>
        <rFont val="Arial"/>
        <color theme="1"/>
        <sz val="12.0"/>
      </rPr>
      <t>0,5.l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</t>
    </r>
  </si>
  <si>
    <t>Nmm</t>
  </si>
  <si>
    <r>
      <rPr>
        <rFont val="Arial"/>
        <color theme="1"/>
        <sz val="12.0"/>
      </rPr>
      <t>Vậy 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≤ min( </t>
    </r>
  </si>
  <si>
    <t>;</t>
  </si>
  <si>
    <t>) m   =</t>
  </si>
  <si>
    <t>------------------------------------------------------------  =</t>
  </si>
  <si>
    <r>
      <rPr>
        <rFont val="Arial"/>
        <color theme="1"/>
        <sz val="12.0"/>
      </rPr>
      <t>Chọn  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 = </t>
    </r>
  </si>
  <si>
    <r>
      <rPr>
        <rFont val="Arial"/>
        <color theme="1"/>
        <sz val="12.0"/>
      </rPr>
      <t xml:space="preserve">Bề rộng cánh </t>
    </r>
    <r>
      <rPr>
        <rFont val="Arial"/>
        <i/>
        <color theme="1"/>
        <sz val="12.0"/>
      </rPr>
      <t>b’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</t>
    </r>
    <r>
      <rPr>
        <rFont val="Arial"/>
        <color theme="1"/>
        <sz val="12.0"/>
      </rPr>
      <t xml:space="preserve">= </t>
    </r>
    <r>
      <rPr>
        <rFont val="Arial"/>
        <i/>
        <color theme="1"/>
        <sz val="12.0"/>
      </rPr>
      <t>b +2S</t>
    </r>
    <r>
      <rPr>
        <rFont val="Arial"/>
        <i/>
        <color theme="1"/>
        <sz val="12.0"/>
        <vertAlign val="subscript"/>
      </rPr>
      <t xml:space="preserve">f </t>
    </r>
    <r>
      <rPr>
        <rFont val="Arial"/>
        <i/>
        <color theme="1"/>
        <sz val="12.0"/>
      </rPr>
      <t>=</t>
    </r>
  </si>
  <si>
    <t xml:space="preserve">^2          </t>
  </si>
  <si>
    <r>
      <rPr>
        <rFont val="Arial"/>
        <color theme="1"/>
        <sz val="12.0"/>
      </rPr>
      <t xml:space="preserve">Tính </t>
    </r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 R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 xml:space="preserve"> . b’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.h’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.(h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-0,5h’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>)</t>
    </r>
    <r>
      <rPr>
        <rFont val="Arial"/>
        <color theme="1"/>
        <sz val="12.0"/>
      </rPr>
      <t xml:space="preserve"> =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</si>
  <si>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</t>
    </r>
  </si>
  <si>
    <r>
      <rPr>
        <rFont val="Arial"/>
        <color theme="1"/>
        <sz val="12.0"/>
      </rPr>
      <t xml:space="preserve">-     0,5 </t>
    </r>
    <r>
      <rPr>
        <rFont val="Arial"/>
        <color theme="1"/>
        <sz val="8.0"/>
      </rPr>
      <t>x</t>
    </r>
  </si>
  <si>
    <t>)        =</t>
  </si>
  <si>
    <t>Nmm.</t>
  </si>
  <si>
    <r>
      <rPr>
        <rFont val="Arial"/>
        <color theme="1"/>
        <sz val="12.0"/>
      </rPr>
      <t>Vậy M</t>
    </r>
    <r>
      <rPr>
        <rFont val="Arial"/>
        <color theme="1"/>
        <sz val="12.0"/>
        <vertAlign val="superscript"/>
      </rPr>
      <t>+</t>
    </r>
    <r>
      <rPr>
        <rFont val="Arial"/>
        <color theme="1"/>
        <sz val="12.0"/>
        <vertAlign val="subscript"/>
      </rPr>
      <t xml:space="preserve">max </t>
    </r>
    <r>
      <rPr>
        <rFont val="Arial"/>
        <color theme="1"/>
        <sz val="12.0"/>
      </rPr>
      <t>=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</si>
  <si>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</t>
    </r>
  </si>
  <si>
    <t xml:space="preserve">---&gt; Trục trung hòa </t>
  </si>
  <si>
    <r>
      <rPr>
        <rFont val="Arial"/>
        <color theme="1"/>
        <sz val="12.0"/>
      </rPr>
      <t xml:space="preserve">Tính theo tiết diện chữ nhật </t>
    </r>
    <r>
      <rPr>
        <rFont val="Arial"/>
        <i/>
        <color theme="1"/>
        <sz val="12.0"/>
      </rPr>
      <t>b = b’</t>
    </r>
    <r>
      <rPr>
        <rFont val="Arial"/>
        <i/>
        <color theme="1"/>
        <sz val="12.0"/>
        <vertAlign val="subscript"/>
      </rPr>
      <t>f</t>
    </r>
    <r>
      <rPr>
        <rFont val="Arial"/>
        <color theme="1"/>
        <sz val="12.0"/>
        <vertAlign val="subscript"/>
      </rPr>
      <t xml:space="preserve"> </t>
    </r>
    <r>
      <rPr>
        <rFont val="Arial"/>
        <color theme="1"/>
        <sz val="12.0"/>
      </rPr>
      <t xml:space="preserve">= </t>
    </r>
  </si>
  <si>
    <t>mm,   h =</t>
  </si>
  <si>
    <t>mm,   a=</t>
  </si>
  <si>
    <r>
      <rPr>
        <rFont val="Arial"/>
        <color theme="1"/>
        <sz val="12.0"/>
      </rPr>
      <t>mm,     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</si>
  <si>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t xml:space="preserve">* Tại nhịp biên, với </t>
  </si>
  <si>
    <r>
      <rPr>
        <rFont val="Arial"/>
        <b/>
        <color theme="1"/>
        <sz val="12.0"/>
      </rPr>
      <t>M</t>
    </r>
    <r>
      <rPr>
        <rFont val="Arial"/>
        <b/>
        <color theme="1"/>
        <sz val="12.0"/>
        <vertAlign val="superscript"/>
      </rPr>
      <t>+</t>
    </r>
    <r>
      <rPr>
        <rFont val="Arial"/>
        <b/>
        <color theme="1"/>
        <sz val="12.0"/>
        <vertAlign val="subscript"/>
      </rPr>
      <t xml:space="preserve"> </t>
    </r>
    <r>
      <rPr>
        <rFont val="Arial"/>
        <b/>
        <color theme="1"/>
        <sz val="12.0"/>
      </rPr>
      <t>=</t>
    </r>
  </si>
  <si>
    <t>kNm:</t>
  </si>
  <si>
    <t>-------------------------------------------------------------  =</t>
  </si>
  <si>
    <t>---------------------------------------------------------------- =</t>
  </si>
  <si>
    <t>&lt; </t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</si>
  <si>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</si>
  <si>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-------------------------------------- x 100 %=</t>
  </si>
  <si>
    <t>--------------------------------------------- =</t>
  </si>
  <si>
    <r>
      <rPr>
        <rFont val="Arial"/>
        <color rgb="FF000000"/>
        <sz val="12.0"/>
      </rPr>
      <t>mm</t>
    </r>
    <r>
      <rPr>
        <rFont val="Arial"/>
        <color rgb="FF000000"/>
        <sz val="12.0"/>
        <vertAlign val="superscript"/>
      </rPr>
      <t>2</t>
    </r>
  </si>
  <si>
    <t>------------------------------------------------- .100%</t>
  </si>
  <si>
    <t xml:space="preserve">Chọn thép có đường kính </t>
  </si>
  <si>
    <t xml:space="preserve">mm, </t>
  </si>
  <si>
    <r>
      <rPr>
        <rFont val="Arial"/>
        <color theme="1"/>
        <sz val="12.0"/>
      </rPr>
      <t>a</t>
    </r>
    <r>
      <rPr>
        <rFont val="Arial"/>
        <color theme="1"/>
        <sz val="12.0"/>
        <vertAlign val="subscript"/>
      </rPr>
      <t xml:space="preserve">s 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</si>
  <si>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</si>
  <si>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khoảng cách giữa các cốt thép:</t>
  </si>
  <si>
    <t>*Tại nhịp 2, giữa, với M =</t>
  </si>
  <si>
    <t>a =</t>
  </si>
  <si>
    <t>;       z =</t>
  </si>
  <si>
    <t>)</t>
  </si>
  <si>
    <t>;       As =</t>
  </si>
  <si>
    <t>,mm^2 ;</t>
  </si>
  <si>
    <t>;       m% =</t>
  </si>
  <si>
    <t xml:space="preserve">      ----------------------------------------------------------------------  =</t>
  </si>
  <si>
    <t>5, Chọn và bố trí cốt thép dọc</t>
  </si>
  <si>
    <t>Bảng 3.2. Bố trí cốt thép dọc cho các tiết diện chính của dầm phụ</t>
  </si>
  <si>
    <t xml:space="preserve">Tiết </t>
  </si>
  <si>
    <t>diện</t>
  </si>
  <si>
    <t>Nhịp biên</t>
  </si>
  <si>
    <t>Gối 2</t>
  </si>
  <si>
    <t>nhịp 2</t>
  </si>
  <si>
    <t>-&gt;</t>
  </si>
  <si>
    <r>
      <rPr>
        <rFont val="Arial"/>
        <b/>
        <color theme="1"/>
        <sz val="12.0"/>
      </rPr>
      <t xml:space="preserve">Chọn </t>
    </r>
    <r>
      <rPr>
        <rFont val="Symbol"/>
        <b/>
        <color theme="1"/>
        <sz val="12.0"/>
      </rPr>
      <t xml:space="preserve"> f</t>
    </r>
  </si>
  <si>
    <r>
      <rPr>
        <rFont val="Arial"/>
        <color theme="1"/>
        <sz val="12.0"/>
      </rPr>
      <t>A</t>
    </r>
    <r>
      <rPr>
        <rFont val="Arial"/>
        <color theme="1"/>
        <sz val="12.0"/>
        <vertAlign val="subscript"/>
      </rPr>
      <t>s</t>
    </r>
    <r>
      <rPr>
        <rFont val="Arial"/>
        <color theme="1"/>
        <sz val="12.0"/>
      </rPr>
      <t xml:space="preserve"> tính </t>
    </r>
  </si>
  <si>
    <t>s =</t>
  </si>
  <si>
    <r>
      <rPr>
        <rFont val="Arial"/>
        <color rgb="FF000000"/>
        <sz val="12.0"/>
      </rPr>
      <t>toán mm</t>
    </r>
    <r>
      <rPr>
        <rFont val="Arial"/>
        <color rgb="FF000000"/>
        <sz val="12.0"/>
        <vertAlign val="superscript"/>
      </rPr>
      <t>2</t>
    </r>
  </si>
  <si>
    <t>Bố trí cốt thép</t>
  </si>
  <si>
    <t>Tại gối giữa và nhịp giữa, với M =</t>
  </si>
  <si>
    <t>Diện tích</t>
  </si>
  <si>
    <r>
      <rPr>
        <rFont val="Arial"/>
        <color rgb="FF000000"/>
        <sz val="12.0"/>
      </rPr>
      <t>mm</t>
    </r>
    <r>
      <rPr>
        <rFont val="Arial"/>
        <color rgb="FF000000"/>
        <sz val="12.0"/>
        <vertAlign val="superscript"/>
      </rPr>
      <t>2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</si>
  <si>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</si>
  <si>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r>
      <rPr>
        <rFont val="Arial"/>
        <color theme="1"/>
        <sz val="12.0"/>
      </rPr>
      <t>a</t>
    </r>
    <r>
      <rPr>
        <rFont val="Arial"/>
        <color theme="1"/>
        <sz val="12.0"/>
        <vertAlign val="subscript"/>
      </rPr>
      <t xml:space="preserve">s 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</si>
  <si>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</si>
  <si>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r>
      <rPr>
        <rFont val="Arial"/>
        <color theme="1"/>
        <sz val="12.0"/>
      </rPr>
      <t>Kiểm tra lại 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:</t>
    </r>
  </si>
  <si>
    <r>
      <rPr>
        <rFont val="Arial"/>
        <color theme="1"/>
        <sz val="12.0"/>
      </rPr>
      <t xml:space="preserve">Chọn chiều dày lớp bảo vệ   </t>
    </r>
    <r>
      <rPr>
        <rFont val="Arial"/>
        <i/>
        <color theme="1"/>
        <sz val="12.0"/>
      </rPr>
      <t>c =</t>
    </r>
    <r>
      <rPr>
        <rFont val="Arial"/>
        <color theme="1"/>
        <sz val="12.0"/>
      </rPr>
      <t xml:space="preserve"> </t>
    </r>
  </si>
  <si>
    <t>mm,  cốt thép đặt 1 lớp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</si>
  <si>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h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– c -0,5.</t>
    </r>
    <r>
      <rPr>
        <rFont val="Symbol"/>
        <color theme="1"/>
        <sz val="12.0"/>
      </rPr>
      <t>f</t>
    </r>
    <r>
      <rPr>
        <rFont val="Arial"/>
        <color theme="1"/>
        <sz val="12.0"/>
      </rPr>
      <t xml:space="preserve"> =</t>
    </r>
  </si>
  <si>
    <t>- 0,5  .</t>
  </si>
  <si>
    <t>6, Tính toán cốt thép ngang</t>
  </si>
  <si>
    <t xml:space="preserve">      -------------------------------------------------------  =</t>
  </si>
  <si>
    <t>Từ biểu đồ bao lực cắt ta có:</t>
  </si>
  <si>
    <t>kN. Lấy giá trị này dùng trong tính toán cốt đai</t>
  </si>
  <si>
    <r>
      <rPr>
        <rFont val="Arial"/>
        <color theme="1"/>
        <sz val="12.0"/>
      </rPr>
      <t>Theo vật liệu đã chọn:           R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=</t>
    </r>
  </si>
  <si>
    <r>
      <rPr>
        <rFont val="Arial"/>
        <b/>
        <color theme="1"/>
        <sz val="12.0"/>
      </rPr>
      <t xml:space="preserve">Chọn </t>
    </r>
    <r>
      <rPr>
        <rFont val="Symbol"/>
        <b/>
        <color theme="1"/>
        <sz val="12.0"/>
      </rPr>
      <t xml:space="preserve"> f</t>
    </r>
  </si>
  <si>
    <r>
      <rPr>
        <rFont val="Arial"/>
        <color theme="1"/>
        <sz val="12.0"/>
      </rPr>
      <t>Mpa;     R</t>
    </r>
    <r>
      <rPr>
        <rFont val="Arial"/>
        <color theme="1"/>
        <sz val="12.0"/>
        <vertAlign val="subscript"/>
      </rPr>
      <t>bt</t>
    </r>
    <r>
      <rPr>
        <rFont val="Arial"/>
        <color theme="1"/>
        <sz val="12.0"/>
      </rPr>
      <t xml:space="preserve"> = </t>
    </r>
  </si>
  <si>
    <r>
      <rPr>
        <rFont val="Arial"/>
        <color theme="1"/>
        <sz val="12.0"/>
      </rPr>
      <t>Mpa;   R</t>
    </r>
    <r>
      <rPr>
        <rFont val="Arial"/>
        <color theme="1"/>
        <sz val="12.0"/>
        <vertAlign val="subscript"/>
      </rPr>
      <t>sw</t>
    </r>
    <r>
      <rPr>
        <rFont val="Arial"/>
        <color theme="1"/>
        <sz val="12.0"/>
      </rPr>
      <t xml:space="preserve"> =</t>
    </r>
  </si>
  <si>
    <t>Mpa.</t>
  </si>
  <si>
    <r>
      <rPr>
        <rFont val="Arial"/>
        <color theme="1"/>
        <sz val="12.0"/>
      </rPr>
      <t xml:space="preserve">Kích thước dầm: </t>
    </r>
    <r>
      <rPr>
        <rFont val="Arial"/>
        <i/>
        <color theme="1"/>
        <sz val="12.0"/>
      </rPr>
      <t>b=</t>
    </r>
  </si>
  <si>
    <r>
      <rPr>
        <rFont val="Arial"/>
        <color theme="1"/>
        <sz val="12.0"/>
      </rPr>
      <t xml:space="preserve">mm;         </t>
    </r>
    <r>
      <rPr>
        <rFont val="Arial"/>
        <i/>
        <color theme="1"/>
        <sz val="12.0"/>
      </rPr>
      <t>h =</t>
    </r>
  </si>
  <si>
    <r>
      <rPr>
        <rFont val="Arial"/>
        <color theme="1"/>
        <sz val="12.0"/>
      </rPr>
      <t xml:space="preserve">mm;        </t>
    </r>
    <r>
      <rPr>
        <rFont val="Arial"/>
        <i/>
        <color theme="1"/>
        <sz val="12.0"/>
      </rPr>
      <t>h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= </t>
    </r>
  </si>
  <si>
    <t>Tại gối giữa và nhịp giữa trong vùng được phép giảm lượng cốt thép đến tối đa 20%</t>
  </si>
  <si>
    <r>
      <rPr>
        <rFont val="Arial"/>
        <color theme="1"/>
        <sz val="12.0"/>
      </rPr>
      <t xml:space="preserve">Kiểm tra điều kiện </t>
    </r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min</t>
    </r>
    <r>
      <rPr>
        <rFont val="Arial"/>
        <i/>
        <color theme="1"/>
        <sz val="12.0"/>
      </rPr>
      <t xml:space="preserve"> &lt; Q &lt; 0,3.R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>.b.h</t>
    </r>
    <r>
      <rPr>
        <rFont val="Arial"/>
        <i/>
        <color theme="1"/>
        <sz val="12.0"/>
        <vertAlign val="subscript"/>
      </rPr>
      <t>o</t>
    </r>
  </si>
  <si>
    <r>
      <rPr>
        <rFont val="Arial"/>
        <i/>
        <color theme="1"/>
        <sz val="12.0"/>
      </rPr>
      <t>0,3.R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>.b.h</t>
    </r>
    <r>
      <rPr>
        <rFont val="Arial"/>
        <i/>
        <color theme="1"/>
        <sz val="12.0"/>
        <vertAlign val="subscript"/>
      </rPr>
      <t xml:space="preserve">o </t>
    </r>
    <r>
      <rPr>
        <rFont val="Arial"/>
        <i/>
        <color theme="1"/>
        <sz val="12.0"/>
      </rPr>
      <t>= 0,3.</t>
    </r>
  </si>
  <si>
    <t>N          =</t>
  </si>
  <si>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min</t>
    </r>
    <r>
      <rPr>
        <rFont val="Arial"/>
        <i/>
        <color theme="1"/>
        <sz val="12.0"/>
      </rPr>
      <t xml:space="preserve"> = 0,5 . R</t>
    </r>
    <r>
      <rPr>
        <rFont val="Arial"/>
        <i/>
        <color theme="1"/>
        <sz val="12.0"/>
        <vertAlign val="subscript"/>
      </rPr>
      <t>bt</t>
    </r>
    <r>
      <rPr>
        <rFont val="Arial"/>
        <i/>
        <color theme="1"/>
        <sz val="12.0"/>
      </rPr>
      <t>.  b . h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= 0 ,5 .</t>
    </r>
  </si>
  <si>
    <r>
      <rPr>
        <rFont val="Arial"/>
        <color theme="1"/>
        <sz val="12.0"/>
      </rPr>
      <t xml:space="preserve">As = 0.8 </t>
    </r>
    <r>
      <rPr>
        <rFont val="Arial"/>
        <color theme="1"/>
        <sz val="8.0"/>
      </rPr>
      <t>x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</si>
  <si>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</si>
  <si>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 xml:space="preserve">N         = </t>
  </si>
  <si>
    <t>kN.</t>
  </si>
  <si>
    <r>
      <rPr>
        <rFont val="Arial"/>
        <color theme="1"/>
        <sz val="12.0"/>
      </rPr>
      <t xml:space="preserve">Điều kiện </t>
    </r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min</t>
    </r>
    <r>
      <rPr>
        <rFont val="Arial"/>
        <i/>
        <color theme="1"/>
        <sz val="12.0"/>
      </rPr>
      <t xml:space="preserve"> &lt; Q &lt; 0,3.R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>.b.h</t>
    </r>
    <r>
      <rPr>
        <rFont val="Arial"/>
        <i/>
        <color theme="1"/>
        <sz val="12.0"/>
        <vertAlign val="subscript"/>
      </rPr>
      <t>o</t>
    </r>
  </si>
  <si>
    <t>Tính toán cốt đai ( không có cốt xiên):</t>
  </si>
  <si>
    <r>
      <rPr>
        <rFont val="Noto Sans Symbols"/>
        <color theme="1"/>
        <sz val="12.0"/>
      </rPr>
      <t>m</t>
    </r>
    <r>
      <rPr>
        <rFont val="Arial"/>
        <color theme="1"/>
        <sz val="12.0"/>
      </rPr>
      <t>% =</t>
    </r>
  </si>
  <si>
    <r>
      <rPr>
        <rFont val="Arial"/>
        <color theme="1"/>
        <sz val="12.0"/>
      </rPr>
      <t xml:space="preserve">------------------------------------- </t>
    </r>
    <r>
      <rPr>
        <rFont val="Arial"/>
        <color theme="1"/>
        <sz val="8.0"/>
      </rPr>
      <t>x</t>
    </r>
  </si>
  <si>
    <t>Cho Q =</t>
  </si>
  <si>
    <r>
      <rPr>
        <rFont val="Arial"/>
        <color theme="1"/>
        <sz val="12.0"/>
      </rPr>
      <t>kN = Q</t>
    </r>
    <r>
      <rPr>
        <rFont val="Arial"/>
        <color theme="1"/>
        <sz val="12.0"/>
        <vertAlign val="subscript"/>
      </rPr>
      <t>đb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</si>
  <si>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p</t>
    </r>
    <r>
      <rPr>
        <rFont val="Arial"/>
        <color theme="1"/>
        <sz val="12.0"/>
      </rPr>
      <t xml:space="preserve"> : tải trọng toàn phần của dầm phụ</t>
    </r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</si>
  <si>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g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+ p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 xml:space="preserve"> = </t>
    </r>
  </si>
  <si>
    <r>
      <rPr>
        <rFont val="Arial"/>
        <color theme="1"/>
        <sz val="12.0"/>
      </rPr>
      <t>Chọn</t>
    </r>
    <r>
      <rPr>
        <rFont val="Symbol"/>
        <color theme="1"/>
        <sz val="12.0"/>
      </rPr>
      <t xml:space="preserve"> f</t>
    </r>
  </si>
  <si>
    <t>N/mm</t>
  </si>
  <si>
    <t>--&gt; s =</t>
  </si>
  <si>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swmin</t>
    </r>
    <r>
      <rPr>
        <rFont val="Arial"/>
        <i/>
        <color theme="1"/>
        <sz val="12.0"/>
      </rPr>
      <t xml:space="preserve"> = 0,25.R</t>
    </r>
    <r>
      <rPr>
        <rFont val="Arial"/>
        <i/>
        <color theme="1"/>
        <sz val="12.0"/>
        <vertAlign val="subscript"/>
      </rPr>
      <t>bt</t>
    </r>
    <r>
      <rPr>
        <rFont val="Arial"/>
        <i/>
        <color theme="1"/>
        <sz val="12.0"/>
      </rPr>
      <t>.b =0,25.</t>
    </r>
  </si>
  <si>
    <t>N/mm.</t>
  </si>
  <si>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swmin</t>
    </r>
    <r>
      <rPr>
        <rFont val="Arial"/>
        <i/>
        <color theme="1"/>
        <sz val="12.0"/>
      </rPr>
      <t xml:space="preserve"> =</t>
    </r>
  </si>
  <si>
    <r>
      <rPr>
        <rFont val="Arial"/>
        <b/>
        <color theme="1"/>
        <sz val="12.0"/>
      </rPr>
      <t xml:space="preserve">Chọn </t>
    </r>
    <r>
      <rPr>
        <rFont val="Symbol"/>
        <b/>
        <color theme="1"/>
        <sz val="12.0"/>
      </rPr>
      <t xml:space="preserve"> f</t>
    </r>
  </si>
  <si>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sw</t>
    </r>
    <r>
      <rPr>
        <rFont val="Arial"/>
        <i/>
        <color theme="1"/>
        <sz val="12.0"/>
      </rPr>
      <t xml:space="preserve"> =</t>
    </r>
  </si>
  <si>
    <r>
      <rPr>
        <rFont val="Arial"/>
        <b/>
        <color theme="1"/>
        <sz val="12.0"/>
      </rPr>
      <t>Kiểm tra C</t>
    </r>
    <r>
      <rPr>
        <rFont val="Arial"/>
        <b/>
        <color theme="1"/>
        <sz val="12.0"/>
        <vertAlign val="subscript"/>
      </rPr>
      <t>o</t>
    </r>
    <r>
      <rPr>
        <rFont val="Arial"/>
        <b/>
        <color theme="1"/>
        <sz val="12.0"/>
      </rPr>
      <t xml:space="preserve"> ,       với         q</t>
    </r>
    <r>
      <rPr>
        <rFont val="Arial"/>
        <b/>
        <color theme="1"/>
        <sz val="12.0"/>
        <vertAlign val="subscript"/>
      </rPr>
      <t>sw</t>
    </r>
    <r>
      <rPr>
        <rFont val="Arial"/>
        <b/>
        <color theme="1"/>
        <sz val="12.0"/>
      </rPr>
      <t xml:space="preserve"> = </t>
    </r>
  </si>
  <si>
    <r>
      <rPr>
        <rFont val="Arial"/>
        <color theme="1"/>
        <sz val="12.0"/>
      </rPr>
      <t>C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</si>
  <si>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2h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</si>
  <si>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C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</si>
  <si>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r>
      <rPr>
        <rFont val="Arial"/>
        <b/>
        <color theme="1"/>
        <sz val="12.0"/>
      </rPr>
      <t>Tính q</t>
    </r>
    <r>
      <rPr>
        <rFont val="Arial"/>
        <b/>
        <color theme="1"/>
        <sz val="12.0"/>
        <vertAlign val="subscript"/>
      </rPr>
      <t>sw</t>
    </r>
    <r>
      <rPr>
        <rFont val="Arial"/>
        <b/>
        <color theme="1"/>
        <sz val="12.0"/>
      </rPr>
      <t xml:space="preserve"> với C</t>
    </r>
    <r>
      <rPr>
        <rFont val="Arial"/>
        <b/>
        <color theme="1"/>
        <sz val="12.0"/>
        <vertAlign val="subscript"/>
      </rPr>
      <t>o</t>
    </r>
    <r>
      <rPr>
        <rFont val="Arial"/>
        <b/>
        <color theme="1"/>
        <sz val="12.0"/>
      </rPr>
      <t xml:space="preserve"> =</t>
    </r>
  </si>
  <si>
    <t>mm:</t>
  </si>
  <si>
    <r>
      <rPr>
        <rFont val="Arial"/>
        <color theme="1"/>
        <sz val="12.0"/>
      </rPr>
      <t>kN = Q</t>
    </r>
    <r>
      <rPr>
        <rFont val="Arial"/>
        <color theme="1"/>
        <sz val="12.0"/>
        <vertAlign val="subscript"/>
      </rPr>
      <t>đb</t>
    </r>
    <r>
      <rPr>
        <rFont val="Arial"/>
        <color theme="1"/>
        <sz val="12.0"/>
      </rPr>
      <t xml:space="preserve"> =</t>
    </r>
  </si>
  <si>
    <t>suy ra:</t>
  </si>
  <si>
    <r>
      <rPr>
        <rFont val="Arial"/>
        <color theme="1"/>
        <sz val="12.0"/>
      </rPr>
      <t xml:space="preserve">Chọn </t>
    </r>
    <r>
      <rPr>
        <rFont val="Arial"/>
        <i/>
        <color theme="1"/>
        <sz val="12.0"/>
      </rPr>
      <t>q</t>
    </r>
    <r>
      <rPr>
        <rFont val="Arial"/>
        <i/>
        <color theme="1"/>
        <sz val="12.0"/>
        <vertAlign val="subscript"/>
      </rPr>
      <t>sw</t>
    </r>
    <r>
      <rPr>
        <rFont val="Arial"/>
        <color theme="1"/>
        <sz val="12.0"/>
      </rPr>
      <t xml:space="preserve"> = </t>
    </r>
  </si>
  <si>
    <r>
      <rPr>
        <rFont val="Arial"/>
        <b/>
        <color theme="1"/>
        <sz val="12.0"/>
      </rPr>
      <t xml:space="preserve">Chọn cốt đai </t>
    </r>
    <r>
      <rPr>
        <rFont val="Symbol"/>
        <b/>
        <color theme="1"/>
        <sz val="12.0"/>
      </rPr>
      <t xml:space="preserve">f 6 </t>
    </r>
  </si>
  <si>
    <t>nhánh</t>
  </si>
  <si>
    <t>Diên tích của một lớp côt đai là:</t>
  </si>
  <si>
    <r>
      <rPr>
        <rFont val="Arial"/>
        <color rgb="FF000000"/>
        <sz val="12.0"/>
      </rPr>
      <t>mm</t>
    </r>
    <r>
      <rPr>
        <rFont val="Arial"/>
        <color rgb="FF000000"/>
        <sz val="12.0"/>
        <vertAlign val="superscript"/>
      </rPr>
      <t>2</t>
    </r>
  </si>
  <si>
    <t>Khoảng cách giữa các lớp cốt đai theo tính toán là:</t>
  </si>
  <si>
    <t>----------------------------------------------------- =</t>
  </si>
  <si>
    <t>Khoảng cách giữa các lớp cốt đai theo cấu tạo là:</t>
  </si>
  <si>
    <r>
      <rPr>
        <rFont val="Arial"/>
        <i/>
        <color theme="1"/>
        <sz val="12.0"/>
      </rPr>
      <t>S</t>
    </r>
    <r>
      <rPr>
        <rFont val="Arial"/>
        <i/>
        <color theme="1"/>
        <sz val="12.0"/>
        <vertAlign val="subscript"/>
      </rPr>
      <t>ct</t>
    </r>
    <r>
      <rPr>
        <rFont val="Arial"/>
        <i/>
        <color theme="1"/>
        <sz val="12.0"/>
      </rPr>
      <t xml:space="preserve"> = min ( 0,5.h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;300)mm =min(0,5.</t>
    </r>
  </si>
  <si>
    <t>; 300)mm     =</t>
  </si>
  <si>
    <t>Khoảng cách lơn nhất giữa các lớp cốt đai là:</t>
  </si>
  <si>
    <t>------------------------------------------------------ =</t>
  </si>
  <si>
    <t xml:space="preserve">Kiểm tra lại chiều cao làm việc </t>
  </si>
  <si>
    <r>
      <rPr>
        <rFont val="Arial"/>
        <color theme="1"/>
        <sz val="12.0"/>
      </rPr>
      <t>Cốt đai được bố trí với khoảng cách là</t>
    </r>
    <r>
      <rPr>
        <rFont val="Arial"/>
        <i/>
        <color theme="1"/>
        <sz val="12.0"/>
      </rPr>
      <t xml:space="preserve"> s= min(S</t>
    </r>
    <r>
      <rPr>
        <rFont val="Arial"/>
        <i/>
        <color theme="1"/>
        <sz val="12.0"/>
        <vertAlign val="subscript"/>
      </rPr>
      <t>tt</t>
    </r>
    <r>
      <rPr>
        <rFont val="Arial"/>
        <i/>
        <color theme="1"/>
        <sz val="12.0"/>
      </rPr>
      <t>;S</t>
    </r>
    <r>
      <rPr>
        <rFont val="Arial"/>
        <i/>
        <color theme="1"/>
        <sz val="12.0"/>
        <vertAlign val="subscript"/>
      </rPr>
      <t>ct</t>
    </r>
    <r>
      <rPr>
        <rFont val="Arial"/>
        <i/>
        <color theme="1"/>
        <sz val="12.0"/>
      </rPr>
      <t>;S</t>
    </r>
    <r>
      <rPr>
        <rFont val="Arial"/>
        <i/>
        <color theme="1"/>
        <sz val="12.0"/>
        <vertAlign val="subscript"/>
      </rPr>
      <t>max</t>
    </r>
    <r>
      <rPr>
        <rFont val="Arial"/>
        <i/>
        <color theme="1"/>
        <sz val="12.0"/>
      </rPr>
      <t>) =</t>
    </r>
  </si>
  <si>
    <t xml:space="preserve">Lấy lớp bảo vệ là </t>
  </si>
  <si>
    <t>mm,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</si>
  <si>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h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 xml:space="preserve"> – 10 – 0,5. </t>
    </r>
    <r>
      <rPr>
        <rFont val="Symbol"/>
        <color theme="1"/>
        <sz val="12.0"/>
      </rPr>
      <t>f</t>
    </r>
    <r>
      <rPr>
        <rFont val="Arial"/>
        <color theme="1"/>
        <sz val="12.0"/>
        <vertAlign val="subscript"/>
      </rPr>
      <t>max</t>
    </r>
    <r>
      <rPr>
        <rFont val="Arial"/>
        <color theme="1"/>
        <sz val="12.0"/>
      </rPr>
      <t xml:space="preserve"> =</t>
    </r>
  </si>
  <si>
    <t>----&gt; Lấy tròn s =</t>
  </si>
  <si>
    <r>
      <rPr>
        <rFont val="Arial"/>
        <color theme="1"/>
        <sz val="12.0"/>
      </rPr>
      <t xml:space="preserve">0,5    </t>
    </r>
    <r>
      <rPr>
        <rFont val="Arial"/>
        <color theme="1"/>
        <sz val="8.0"/>
      </rPr>
      <t>x</t>
    </r>
  </si>
  <si>
    <r>
      <rPr>
        <rFont val="Arial"/>
        <color theme="0"/>
        <sz val="12.0"/>
      </rPr>
      <t xml:space="preserve">Các  dầm  đều  được  bố  trí  cốt đai  </t>
    </r>
    <r>
      <rPr>
        <rFont val="Symbol"/>
        <color theme="0"/>
        <sz val="12.0"/>
      </rPr>
      <t xml:space="preserve">f </t>
    </r>
    <r>
      <rPr>
        <rFont val="Arial"/>
        <color theme="0"/>
        <sz val="12.0"/>
      </rPr>
      <t xml:space="preserve">6  , </t>
    </r>
  </si>
  <si>
    <t xml:space="preserve">nhánh, khoảng cách  s = </t>
  </si>
  <si>
    <t xml:space="preserve">Như vậy trị số đã dùng trong tính toán là 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</si>
  <si>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</t>
    </r>
  </si>
  <si>
    <t>7, Tính, vẽ hình bao vật liệu</t>
  </si>
  <si>
    <t xml:space="preserve">Cốt thép chịu mô men âm trên gối tựa được bố trí kéo dài ra khỏi mép gối một đoạn là </t>
  </si>
  <si>
    <t>a, Tính khả năng chịu lực</t>
  </si>
  <si>
    <r>
      <rPr>
        <rFont val="Arial"/>
        <color theme="1"/>
        <sz val="12.0"/>
      </rPr>
      <t>v.l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</t>
    </r>
  </si>
  <si>
    <t>Với tỷ số</t>
  </si>
  <si>
    <r>
      <rPr>
        <rFont val="Arial"/>
        <color theme="1"/>
        <sz val="12.0"/>
      </rPr>
      <t>p</t>
    </r>
    <r>
      <rPr>
        <rFont val="Arial"/>
        <color theme="1"/>
        <sz val="12.0"/>
        <vertAlign val="subscript"/>
      </rPr>
      <t>b</t>
    </r>
    <r>
      <rPr>
        <rFont val="Arial"/>
        <color theme="1"/>
        <sz val="12.0"/>
      </rPr>
      <t>/g</t>
    </r>
    <r>
      <rPr>
        <rFont val="Arial"/>
        <color theme="1"/>
        <sz val="12.0"/>
        <vertAlign val="subscript"/>
      </rPr>
      <t>p</t>
    </r>
    <r>
      <rPr>
        <rFont val="Arial"/>
        <color theme="1"/>
        <sz val="12.0"/>
      </rPr>
      <t xml:space="preserve"> =</t>
    </r>
  </si>
  <si>
    <t>Tại nhịp biên, mômen dương, tiết diện chữ T có cánh nằm trong vùng nén, bề rộng cánh</t>
  </si>
  <si>
    <r>
      <rPr>
        <rFont val="Arial"/>
        <i/>
        <color theme="0"/>
        <sz val="12.0"/>
      </rPr>
      <t>b = b</t>
    </r>
    <r>
      <rPr>
        <rFont val="Arial"/>
        <i/>
        <color theme="0"/>
        <sz val="12.0"/>
        <vertAlign val="superscript"/>
      </rPr>
      <t>’</t>
    </r>
    <r>
      <rPr>
        <rFont val="Arial"/>
        <i/>
        <color theme="0"/>
        <sz val="12.0"/>
        <vertAlign val="subscript"/>
      </rPr>
      <t>f</t>
    </r>
    <r>
      <rPr>
        <rFont val="Arial"/>
        <i/>
        <color theme="0"/>
        <sz val="12.0"/>
      </rPr>
      <t xml:space="preserve"> =</t>
    </r>
    <r>
      <rPr>
        <rFont val="Arial"/>
        <i val="0"/>
        <color theme="0"/>
        <sz val="12.0"/>
      </rPr>
      <t xml:space="preserve"> </t>
    </r>
  </si>
  <si>
    <t>, trị số  v =</t>
  </si>
  <si>
    <t>mm,   bố trí cốt thép</t>
  </si>
  <si>
    <r>
      <rPr>
        <rFont val="Arial"/>
        <color theme="0"/>
        <sz val="12.0"/>
      </rPr>
      <t>diện tích A</t>
    </r>
    <r>
      <rPr>
        <rFont val="Arial"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=</t>
    </r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</si>
  <si>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</si>
  <si>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t>Đoạn vươn của cốt thép ra khỏi gối:</t>
  </si>
  <si>
    <t>Lấy lớp bảo vệ là a=</t>
  </si>
  <si>
    <r>
      <rPr>
        <rFont val="Arial"/>
        <color theme="0"/>
        <sz val="12.0"/>
      </rPr>
      <t xml:space="preserve">mm, </t>
    </r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h</t>
    </r>
    <r>
      <rPr>
        <rFont val="Arial"/>
        <i/>
        <color theme="0"/>
        <sz val="12.0"/>
        <vertAlign val="subscript"/>
      </rPr>
      <t>p</t>
    </r>
    <r>
      <rPr>
        <rFont val="Arial"/>
        <i/>
        <color theme="0"/>
        <sz val="12.0"/>
      </rPr>
      <t xml:space="preserve"> – a – 0,5</t>
    </r>
    <r>
      <rPr>
        <rFont val="Symbol"/>
        <i/>
        <color theme="0"/>
        <sz val="12.0"/>
      </rPr>
      <t>f</t>
    </r>
    <r>
      <rPr>
        <rFont val="Arial"/>
        <i/>
        <color theme="0"/>
        <sz val="12.0"/>
      </rPr>
      <t xml:space="preserve"> =</t>
    </r>
  </si>
  <si>
    <t>Tính từ mép  dầm phụ là:</t>
  </si>
  <si>
    <r>
      <rPr>
        <rFont val="Arial"/>
        <color theme="1"/>
        <sz val="12.0"/>
      </rPr>
      <t>v.l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</t>
    </r>
  </si>
  <si>
    <t>Tính từ trục dầm phụ là:</t>
  </si>
  <si>
    <r>
      <rPr>
        <rFont val="Arial"/>
        <color theme="1"/>
        <sz val="12.0"/>
      </rPr>
      <t>v.l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+ 0,5.b</t>
    </r>
    <r>
      <rPr>
        <rFont val="Arial"/>
        <color theme="1"/>
        <sz val="12.0"/>
        <vertAlign val="subscript"/>
      </rPr>
      <t>dp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</si>
  <si>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 xml:space="preserve">+ 0,5 </t>
    </r>
    <r>
      <rPr>
        <rFont val="Arial"/>
        <color theme="1"/>
        <sz val="8.0"/>
      </rPr>
      <t>x</t>
    </r>
  </si>
  <si>
    <t>Thép dọc chịu mômen âm được đặt xen kẽ nhau, đoạn vươn của cốt thép ngắn hơn:</t>
  </si>
  <si>
    <r>
      <rPr>
        <rFont val="Arial"/>
        <i/>
        <color theme="0"/>
        <sz val="12.0"/>
      </rPr>
      <t xml:space="preserve">x = </t>
    </r>
    <r>
      <rPr>
        <rFont val="Symbol"/>
        <i/>
        <color theme="0"/>
        <sz val="12.0"/>
      </rPr>
      <t>x</t>
    </r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</t>
    </r>
    <r>
      <rPr>
        <rFont val="Arial"/>
        <i val="0"/>
        <color theme="0"/>
        <sz val="12.0"/>
      </rPr>
      <t xml:space="preserve"> </t>
    </r>
  </si>
  <si>
    <t>+ 0,5  .</t>
  </si>
  <si>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perscript"/>
      </rPr>
      <t>’</t>
    </r>
    <r>
      <rPr>
        <rFont val="Arial"/>
        <i/>
        <color theme="0"/>
        <sz val="12.0"/>
        <vertAlign val="subscript"/>
      </rPr>
      <t>f</t>
    </r>
    <r>
      <rPr>
        <rFont val="Arial"/>
        <i/>
        <color theme="0"/>
        <sz val="12.0"/>
      </rPr>
      <t xml:space="preserve"> =</t>
    </r>
  </si>
  <si>
    <t>Thép dọc chịu mômen dương được đặt xen kẽ nhau, khoảng cách từ đầu mút của cốt thép ngắn hơn:</t>
  </si>
  <si>
    <r>
      <rPr>
        <rFont val="Noto Sans Symbols"/>
        <color theme="0"/>
        <sz val="12.0"/>
      </rPr>
      <t>z</t>
    </r>
    <r>
      <rPr>
        <rFont val="Arial"/>
        <color theme="0"/>
        <sz val="12.0"/>
      </rPr>
      <t xml:space="preserve"> = 1 – 0,5 </t>
    </r>
    <r>
      <rPr>
        <rFont val="Symbol"/>
        <color theme="0"/>
        <sz val="12.0"/>
      </rPr>
      <t>x</t>
    </r>
    <r>
      <rPr>
        <rFont val="Arial"/>
        <color theme="0"/>
        <sz val="12.0"/>
      </rPr>
      <t xml:space="preserve"> =  1 -  0,5.</t>
    </r>
  </si>
  <si>
    <t>Đến mép tường là:</t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</si>
  <si>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bscript"/>
      </rPr>
      <t>td</t>
    </r>
    <r>
      <rPr>
        <rFont val="Arial"/>
        <i/>
        <color theme="0"/>
        <sz val="12.0"/>
      </rPr>
      <t xml:space="preserve"> = R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</t>
    </r>
    <r>
      <rPr>
        <rFont val="Symbol"/>
        <i/>
        <color theme="0"/>
        <sz val="12.0"/>
      </rPr>
      <t>z</t>
    </r>
    <r>
      <rPr>
        <rFont val="Arial"/>
        <i/>
        <color theme="0"/>
        <sz val="12.0"/>
      </rPr>
      <t>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</t>
    </r>
  </si>
  <si>
    <t>Nmm          =</t>
  </si>
  <si>
    <t>kNm.</t>
  </si>
  <si>
    <t>Đến mép dầm phụ là:</t>
  </si>
  <si>
    <t>Tại gối 2, mômen âm, tiết diện chữ nhật</t>
  </si>
  <si>
    <r>
      <rPr>
        <rFont val="Arial"/>
        <color theme="0"/>
        <sz val="12.0"/>
      </rPr>
      <t xml:space="preserve"> </t>
    </r>
    <r>
      <rPr>
        <rFont val="Arial"/>
        <i/>
        <color theme="0"/>
        <sz val="12.0"/>
      </rPr>
      <t>b</t>
    </r>
    <r>
      <rPr>
        <rFont val="Arial"/>
        <color theme="0"/>
        <sz val="12.0"/>
      </rPr>
      <t xml:space="preserve"> </t>
    </r>
    <r>
      <rPr>
        <rFont val="Arial"/>
        <color theme="0"/>
        <sz val="8.0"/>
      </rPr>
      <t>x</t>
    </r>
    <r>
      <rPr>
        <rFont val="Arial"/>
        <color theme="0"/>
        <sz val="12.0"/>
      </rPr>
      <t xml:space="preserve"> </t>
    </r>
    <r>
      <rPr>
        <rFont val="Arial"/>
        <i/>
        <color theme="0"/>
        <sz val="12.0"/>
      </rPr>
      <t>h</t>
    </r>
    <r>
      <rPr>
        <rFont val="Arial"/>
        <color theme="0"/>
        <sz val="12.0"/>
      </rPr>
      <t xml:space="preserve"> =</t>
    </r>
  </si>
  <si>
    <t>bố trí cốt thép:</t>
  </si>
  <si>
    <r>
      <rPr>
        <rFont val="Arial"/>
        <color theme="0"/>
        <sz val="12.0"/>
      </rPr>
      <t>diện tích A</t>
    </r>
    <r>
      <rPr>
        <rFont val="Arial"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=</t>
    </r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</si>
  <si>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</si>
  <si>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t>Kiểm tra khả năng chịu cắt của bản:</t>
  </si>
  <si>
    <t>Bản không bố trí cốt đai nên lực cắt cảu bản hoàn toàn do bêtông chịu, ta có:</t>
  </si>
  <si>
    <r>
      <rPr>
        <rFont val="Arial"/>
        <color theme="0"/>
        <sz val="12.0"/>
      </rPr>
      <t xml:space="preserve">mm, </t>
    </r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h</t>
    </r>
    <r>
      <rPr>
        <rFont val="Arial"/>
        <i/>
        <color theme="0"/>
        <sz val="12.0"/>
        <vertAlign val="subscript"/>
      </rPr>
      <t>p</t>
    </r>
    <r>
      <rPr>
        <rFont val="Arial"/>
        <i/>
        <color theme="0"/>
        <sz val="12.0"/>
      </rPr>
      <t xml:space="preserve"> – a – 0,5</t>
    </r>
    <r>
      <rPr>
        <rFont val="Symbol"/>
        <i/>
        <color theme="0"/>
        <sz val="12.0"/>
      </rPr>
      <t>f</t>
    </r>
    <r>
      <rPr>
        <rFont val="Arial"/>
        <i/>
        <color theme="0"/>
        <sz val="12.0"/>
      </rPr>
      <t xml:space="preserve"> =</t>
    </r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</si>
  <si>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bmin</t>
    </r>
    <r>
      <rPr>
        <rFont val="Arial"/>
        <color theme="1"/>
        <sz val="12.0"/>
      </rPr>
      <t xml:space="preserve"> = 0,8 . R</t>
    </r>
    <r>
      <rPr>
        <rFont val="Arial"/>
        <color theme="1"/>
        <sz val="12.0"/>
        <vertAlign val="subscript"/>
      </rPr>
      <t>bt</t>
    </r>
    <r>
      <rPr>
        <rFont val="Arial"/>
        <color theme="1"/>
        <sz val="12.0"/>
      </rPr>
      <t xml:space="preserve"> . b</t>
    </r>
    <r>
      <rPr>
        <rFont val="Arial"/>
        <color theme="1"/>
        <sz val="12.0"/>
        <vertAlign val="subscript"/>
      </rPr>
      <t>1</t>
    </r>
    <r>
      <rPr>
        <rFont val="Arial"/>
        <color theme="1"/>
        <sz val="12.0"/>
      </rPr>
      <t xml:space="preserve"> . 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</si>
  <si>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t>N      =</t>
  </si>
  <si>
    <t xml:space="preserve">kN    </t>
  </si>
  <si>
    <r>
      <rPr>
        <rFont val="Symbol"/>
        <i/>
        <color theme="0"/>
        <sz val="12.0"/>
      </rPr>
      <t>x</t>
    </r>
    <r>
      <rPr>
        <rFont val="Arial"/>
        <i/>
        <color theme="0"/>
        <sz val="12.0"/>
        <vertAlign val="subscript"/>
      </rPr>
      <t>pl</t>
    </r>
    <r>
      <rPr>
        <rFont val="Arial"/>
        <i/>
        <color theme="0"/>
        <sz val="12.0"/>
      </rPr>
      <t xml:space="preserve"> = </t>
    </r>
    <r>
      <rPr>
        <rFont val="Arial"/>
        <i val="0"/>
        <color theme="0"/>
        <sz val="12.0"/>
      </rPr>
      <t>0,30</t>
    </r>
  </si>
  <si>
    <r>
      <rPr>
        <rFont val="Arial"/>
        <color theme="1"/>
        <sz val="12.0"/>
      </rPr>
      <t>Q</t>
    </r>
    <r>
      <rPr>
        <rFont val="Arial"/>
        <color theme="1"/>
        <sz val="12.0"/>
        <vertAlign val="subscript"/>
      </rPr>
      <t>bmin</t>
    </r>
    <r>
      <rPr>
        <rFont val="Arial"/>
        <color theme="1"/>
        <sz val="12.0"/>
      </rPr>
      <t xml:space="preserve"> =</t>
    </r>
  </si>
  <si>
    <t>6,</t>
  </si>
  <si>
    <t>Cốt thép cấu tạo</t>
  </si>
  <si>
    <t>Cốt thép chịu mômen âm đặt theo phương vuông góc với dầm chính:</t>
  </si>
  <si>
    <r>
      <rPr>
        <rFont val="Noto Sans Symbols"/>
        <color theme="0"/>
        <sz val="12.0"/>
      </rPr>
      <t>z</t>
    </r>
    <r>
      <rPr>
        <rFont val="Arial"/>
        <color theme="0"/>
        <sz val="12.0"/>
      </rPr>
      <t xml:space="preserve"> = 1 – 0,5 </t>
    </r>
    <r>
      <rPr>
        <rFont val="Symbol"/>
        <color theme="0"/>
        <sz val="12.0"/>
      </rPr>
      <t>x</t>
    </r>
    <r>
      <rPr>
        <rFont val="Arial"/>
        <color theme="0"/>
        <sz val="12.0"/>
      </rPr>
      <t xml:space="preserve"> =  1 -  0,5.</t>
    </r>
  </si>
  <si>
    <r>
      <rPr>
        <rFont val="Arial"/>
        <color theme="1"/>
        <sz val="12.0"/>
      </rPr>
      <t>Chọn</t>
    </r>
    <r>
      <rPr>
        <rFont val="Symbol"/>
        <color theme="1"/>
        <sz val="12.0"/>
      </rPr>
      <t xml:space="preserve"> f</t>
    </r>
    <r>
      <rPr>
        <rFont val="Arial"/>
        <color theme="1"/>
        <sz val="12.0"/>
      </rPr>
      <t xml:space="preserve"> 6, s =200mm có diện tích trên mỗi mét của dải bản là 141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</si>
  <si>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</si>
  <si>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lớn hơn 50% diện tích cốt thép tính toán</t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</si>
  <si>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bscript"/>
      </rPr>
      <t>td</t>
    </r>
    <r>
      <rPr>
        <rFont val="Arial"/>
        <i/>
        <color theme="0"/>
        <sz val="12.0"/>
      </rPr>
      <t xml:space="preserve"> = R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</t>
    </r>
    <r>
      <rPr>
        <rFont val="Symbol"/>
        <i/>
        <color theme="0"/>
        <sz val="12.0"/>
      </rPr>
      <t>z</t>
    </r>
    <r>
      <rPr>
        <rFont val="Arial"/>
        <i/>
        <color theme="0"/>
        <sz val="12.0"/>
      </rPr>
      <t>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</t>
    </r>
  </si>
  <si>
    <t>tại gối giữa của bản là :</t>
  </si>
  <si>
    <t xml:space="preserve">0,5 . </t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</si>
  <si>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</si>
  <si>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 xml:space="preserve">sử dụng các thanh cốt mũ, đoạn vươn </t>
  </si>
  <si>
    <t>của cốt thép ra khỏi gối:</t>
  </si>
  <si>
    <t>Kết quả tính toán khả năng chịu lực được ghi trong bản 3.3, mọi tiết diện đều được tính toán theo trường hợp tiết diện đặt cốt thép đơn</t>
  </si>
  <si>
    <t>Tính từ mép dầm chính là:</t>
  </si>
  <si>
    <r>
      <rPr>
        <rFont val="Arial"/>
        <color theme="0"/>
        <sz val="12.0"/>
      </rPr>
      <t xml:space="preserve">(với tiết diện chịu mômen dương thì thay </t>
    </r>
    <r>
      <rPr>
        <rFont val="Arial"/>
        <i/>
        <color theme="0"/>
        <sz val="12.0"/>
      </rPr>
      <t>b</t>
    </r>
    <r>
      <rPr>
        <rFont val="Arial"/>
        <color theme="0"/>
        <sz val="12.0"/>
      </rPr>
      <t xml:space="preserve"> bằng </t>
    </r>
    <r>
      <rPr>
        <rFont val="Arial"/>
        <i/>
        <color theme="0"/>
        <sz val="12.0"/>
      </rPr>
      <t>b</t>
    </r>
    <r>
      <rPr>
        <rFont val="Arial"/>
        <i/>
        <color theme="0"/>
        <sz val="12.0"/>
        <vertAlign val="superscript"/>
      </rPr>
      <t>'</t>
    </r>
    <r>
      <rPr>
        <rFont val="Arial"/>
        <i/>
        <color theme="0"/>
        <sz val="12.0"/>
        <vertAlign val="subscript"/>
      </rPr>
      <t>f</t>
    </r>
    <r>
      <rPr>
        <rFont val="Arial"/>
        <color theme="0"/>
        <sz val="12.0"/>
      </rPr>
      <t>)</t>
    </r>
  </si>
  <si>
    <t>Bảng 3.3. khả năng chịu lực của các tiết diện</t>
  </si>
  <si>
    <t>Tính từ trục dầm chính là:</t>
  </si>
  <si>
    <t>+  0,5  .</t>
  </si>
  <si>
    <t>Số lượng và diện tích cốt thép</t>
  </si>
  <si>
    <r>
      <rPr>
        <rFont val="Arial"/>
        <color theme="0"/>
        <sz val="12.0"/>
      </rPr>
      <t>h</t>
    </r>
    <r>
      <rPr>
        <rFont val="Arial"/>
        <color theme="0"/>
        <sz val="12.0"/>
        <vertAlign val="subscript"/>
      </rPr>
      <t>o</t>
    </r>
  </si>
  <si>
    <t>Cốt thép phân bố: được bố trí vuông góc với cốt thép chịu lực:</t>
  </si>
  <si>
    <t>z</t>
  </si>
  <si>
    <r>
      <rPr>
        <rFont val="Arial"/>
        <color theme="0"/>
        <sz val="12.0"/>
      </rPr>
      <t>M</t>
    </r>
    <r>
      <rPr>
        <rFont val="Arial"/>
        <color theme="0"/>
        <sz val="12.0"/>
        <vertAlign val="subscript"/>
      </rPr>
      <t>td</t>
    </r>
  </si>
  <si>
    <r>
      <rPr>
        <rFont val="Arial"/>
        <color theme="1"/>
        <sz val="12.0"/>
      </rPr>
      <t xml:space="preserve">Chọn </t>
    </r>
    <r>
      <rPr>
        <rFont val="Symbol"/>
        <color theme="1"/>
        <sz val="12.0"/>
      </rPr>
      <t>f</t>
    </r>
    <r>
      <rPr>
        <rFont val="Arial"/>
        <color theme="1"/>
        <sz val="12.0"/>
      </rPr>
      <t xml:space="preserve"> 6, s = 250 mm, có diện tích trên mỗi mét của dải bản là 113</t>
    </r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</si>
  <si>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</si>
  <si>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</si>
  <si>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đảm bảo</t>
  </si>
  <si>
    <r>
      <rPr>
        <rFont val="Arial"/>
        <color theme="1"/>
        <sz val="12.0"/>
      </rPr>
      <t>A</t>
    </r>
    <r>
      <rPr>
        <rFont val="Arial"/>
        <color theme="1"/>
        <sz val="12.0"/>
        <vertAlign val="subscript"/>
      </rPr>
      <t>sct</t>
    </r>
    <r>
      <rPr>
        <rFont val="Arial"/>
        <color theme="1"/>
        <sz val="12.0"/>
      </rPr>
      <t xml:space="preserve"> &gt; 20% diện tích cốt thép </t>
    </r>
  </si>
  <si>
    <t>(kNm)</t>
  </si>
  <si>
    <t>hdp</t>
  </si>
  <si>
    <t>a</t>
  </si>
  <si>
    <t>Rs</t>
  </si>
  <si>
    <t>Rb</t>
  </si>
  <si>
    <t>tính toán tại giữa nhịp:</t>
  </si>
  <si>
    <t>( nhịp biên là  0,2 .</t>
  </si>
  <si>
    <t>số1,2</t>
  </si>
  <si>
    <t>Giữa nhịp biên</t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</si>
  <si>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</si>
  <si>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; nhịp giữa là: 0,2.</t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</si>
  <si>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</si>
  <si>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</si>
  <si>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số2</t>
  </si>
  <si>
    <t>Cạnh nhịp biên</t>
  </si>
  <si>
    <r>
      <rPr>
        <rFont val="Arial"/>
        <color theme="0"/>
        <sz val="12.0"/>
      </rPr>
      <t xml:space="preserve">Cắt 1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</si>
  <si>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Còn 2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</si>
  <si>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</si>
  <si>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t>số4,3</t>
  </si>
  <si>
    <t>Trên gối 2</t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</si>
  <si>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</si>
  <si>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t>Cạnh gối 2</t>
  </si>
  <si>
    <r>
      <rPr>
        <rFont val="Arial"/>
        <color theme="0"/>
        <sz val="12.0"/>
      </rPr>
      <t xml:space="preserve">Cắt 1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</si>
  <si>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Còn 2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</si>
  <si>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</si>
  <si>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t>số5,6</t>
  </si>
  <si>
    <t>Giữa nhịp 2</t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</si>
  <si>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</si>
  <si>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t>số6</t>
  </si>
  <si>
    <t>Cạnh nhịp 2</t>
  </si>
  <si>
    <r>
      <rPr>
        <rFont val="Arial"/>
        <color theme="0"/>
        <sz val="12.0"/>
      </rPr>
      <t xml:space="preserve">Cắt 1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</si>
  <si>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Còn 2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</si>
  <si>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Có </t>
    </r>
    <r>
      <rPr>
        <rFont val="Arial"/>
        <i/>
        <color theme="0"/>
        <sz val="12.0"/>
      </rPr>
      <t>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</t>
    </r>
    <r>
      <rPr>
        <rFont val="Arial"/>
        <color theme="0"/>
        <sz val="12.0"/>
      </rPr>
      <t>=</t>
    </r>
  </si>
  <si>
    <t>số9,8</t>
  </si>
  <si>
    <t>số8</t>
  </si>
  <si>
    <r>
      <rPr>
        <rFont val="Arial"/>
        <color theme="0"/>
        <sz val="12.0"/>
      </rPr>
      <t xml:space="preserve">Cắt 1 </t>
    </r>
    <r>
      <rPr>
        <rFont val="Symbol"/>
        <color theme="0"/>
        <sz val="12.0"/>
      </rPr>
      <t>f</t>
    </r>
  </si>
  <si>
    <r>
      <rPr>
        <rFont val="Arial"/>
        <color theme="0"/>
        <sz val="12.0"/>
      </rPr>
      <t xml:space="preserve">Còn 2 </t>
    </r>
    <r>
      <rPr>
        <rFont val="Symbol"/>
        <color theme="0"/>
        <sz val="12.0"/>
      </rPr>
      <t>f</t>
    </r>
  </si>
  <si>
    <t>b, Xác định mặt cắt lý thuyết của các thanh</t>
  </si>
  <si>
    <t>SƠ ĐỒ TÍNH MẶT CẮT LÝ THUYẾT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</si>
  <si>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</si>
  <si>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>Thống kê thép</t>
  </si>
  <si>
    <t>HÌNH 7</t>
  </si>
  <si>
    <t>STT</t>
  </si>
  <si>
    <r>
      <rPr>
        <rFont val="Arial"/>
        <color theme="1"/>
        <sz val="12.0"/>
      </rPr>
      <t xml:space="preserve">đương kính
</t>
    </r>
    <r>
      <rPr>
        <rFont val="Symbol"/>
        <color theme="1"/>
        <sz val="12.0"/>
      </rPr>
      <t>f</t>
    </r>
    <r>
      <rPr>
        <rFont val="Arial"/>
        <color theme="1"/>
        <sz val="12.0"/>
      </rPr>
      <t xml:space="preserve"> (mm)</t>
    </r>
  </si>
  <si>
    <t>Mặt cắt lý thuyết cốt thép số 4</t>
  </si>
  <si>
    <t>chiều dài 1 thanh
(mm)</t>
  </si>
  <si>
    <t>số lượng thanh/ toàn bộ CK</t>
  </si>
  <si>
    <t>tổng chiều dài (m)</t>
  </si>
  <si>
    <t>khối lượng
(kg)</t>
  </si>
  <si>
    <t>KLR</t>
  </si>
  <si>
    <t>Đầu bên trái:</t>
  </si>
  <si>
    <t>Sau khi cắt cốt thép số 4, tiết diện gần gối 2, nhịp biên, khả năng chịu mômen uốn ở thớ trên là</t>
  </si>
  <si>
    <r>
      <rPr>
        <rFont val="Arial"/>
        <color theme="0"/>
        <sz val="12.0"/>
      </rPr>
      <t>Biểu đồ vật liệu cắt biểu đồ mômen ở điểm H</t>
    </r>
    <r>
      <rPr>
        <rFont val="Arial"/>
        <color theme="0"/>
        <sz val="8.0"/>
      </rPr>
      <t>41</t>
    </r>
    <r>
      <rPr>
        <rFont val="Arial"/>
        <color theme="0"/>
        <sz val="12.0"/>
      </rPr>
      <t>, đây là mặt cắt lý thuyết của cốt thép số 4. Bằng quan hệ hình học giữa các</t>
    </r>
  </si>
  <si>
    <r>
      <rPr>
        <rFont val="Arial"/>
        <color theme="0"/>
        <sz val="12.0"/>
      </rPr>
      <t>tam giác đồng dạng, xác định được khoảng cách từ điểm H</t>
    </r>
    <r>
      <rPr>
        <rFont val="Arial"/>
        <color theme="0"/>
        <sz val="8.0"/>
      </rPr>
      <t>41</t>
    </r>
    <r>
      <rPr>
        <rFont val="Arial"/>
        <color theme="0"/>
        <sz val="12.0"/>
      </rPr>
      <t xml:space="preserve"> đến mép trái gối 2 là</t>
    </r>
  </si>
  <si>
    <t>Đầu bên phải:</t>
  </si>
  <si>
    <t>Sau khi cắt cốt thép số 4 , tiết diện gần gối 2, nhịp thứ hai, khả năng chịu mômen uốn ở thớ trên là</t>
  </si>
  <si>
    <r>
      <rPr>
        <rFont val="Arial"/>
        <color theme="0"/>
        <sz val="12.0"/>
      </rPr>
      <t>Biểu đồ vật liệu cắt biểu đồ mômen ở điểm H</t>
    </r>
    <r>
      <rPr>
        <rFont val="Arial"/>
        <color theme="0"/>
        <sz val="8.0"/>
      </rPr>
      <t>42</t>
    </r>
    <r>
      <rPr>
        <rFont val="Arial"/>
        <color theme="0"/>
        <sz val="12.0"/>
      </rPr>
      <t>, đây là mặt cắt lý thuyết của cốt thép số 4. Bằng quan hệ hình học giữa các</t>
    </r>
  </si>
  <si>
    <r>
      <rPr>
        <rFont val="Arial"/>
        <color theme="0"/>
        <sz val="12.0"/>
      </rPr>
      <t>tam giác đồng dạng, xác định được khoảng cách từ điểm H</t>
    </r>
    <r>
      <rPr>
        <rFont val="Arial"/>
        <color theme="0"/>
        <sz val="8.0"/>
      </rPr>
      <t>42</t>
    </r>
    <r>
      <rPr>
        <rFont val="Arial"/>
        <color theme="0"/>
        <sz val="12.0"/>
      </rPr>
      <t xml:space="preserve"> đến mép phải gối 2 là</t>
    </r>
  </si>
  <si>
    <r>
      <rPr>
        <rFont val="Arial"/>
        <color theme="0"/>
        <sz val="12.0"/>
      </rPr>
      <t>Xác định đoạn kéo dài W</t>
    </r>
    <r>
      <rPr>
        <rFont val="Arial"/>
        <color theme="0"/>
        <sz val="8.0"/>
      </rPr>
      <t>4</t>
    </r>
    <r>
      <rPr>
        <rFont val="Arial"/>
        <color theme="0"/>
        <sz val="12.0"/>
      </rPr>
      <t xml:space="preserve">: </t>
    </r>
  </si>
  <si>
    <r>
      <rPr>
        <rFont val="Arial"/>
        <color theme="0"/>
        <sz val="12.0"/>
      </rPr>
      <t>Giá trị lực cắt Q ( độ dốc của biểu đồ mômen) tại H</t>
    </r>
    <r>
      <rPr>
        <rFont val="Arial"/>
        <color theme="0"/>
        <sz val="8.0"/>
      </rPr>
      <t>41</t>
    </r>
    <r>
      <rPr>
        <rFont val="Arial"/>
        <color theme="0"/>
        <sz val="12.0"/>
      </rPr>
      <t xml:space="preserve"> là:</t>
    </r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</si>
  <si>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  <vertAlign val="subscript"/>
      </rPr>
      <t>4</t>
    </r>
    <r>
      <rPr>
        <rFont val="Arial"/>
        <i/>
        <color theme="0"/>
        <sz val="12.0"/>
      </rPr>
      <t>, 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  <vertAlign val="subscript"/>
      </rPr>
      <t>5</t>
    </r>
    <r>
      <rPr>
        <rFont val="Arial"/>
        <i/>
        <color theme="0"/>
        <sz val="12.0"/>
      </rPr>
      <t xml:space="preserve"> : là giá trị độ lớn của tung độ 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</rPr>
      <t xml:space="preserve"> tại tiết diện 4,5 của dầm, lấy trong bảng 2.2</t>
    </r>
  </si>
  <si>
    <r>
      <rPr>
        <rFont val="Arial"/>
        <color theme="0"/>
        <sz val="12.0"/>
      </rPr>
      <t xml:space="preserve">Tại khu vực này bố trí cốt đai là </t>
    </r>
    <r>
      <rPr>
        <rFont val="Symbol"/>
        <color theme="0"/>
        <sz val="12.0"/>
      </rPr>
      <t>f</t>
    </r>
    <r>
      <rPr>
        <rFont val="Arial"/>
        <color theme="0"/>
        <sz val="12.0"/>
      </rPr>
      <t xml:space="preserve"> 6,        s = </t>
    </r>
  </si>
  <si>
    <r>
      <rPr>
        <rFont val="Arial"/>
        <color theme="0"/>
        <sz val="12.0"/>
      </rPr>
      <t xml:space="preserve">Tính </t>
    </r>
    <r>
      <rPr>
        <rFont val="Arial"/>
        <i/>
        <color theme="0"/>
        <sz val="12.0"/>
      </rPr>
      <t>q</t>
    </r>
    <r>
      <rPr>
        <rFont val="Arial"/>
        <i/>
        <color theme="0"/>
        <sz val="8.0"/>
      </rPr>
      <t>sw</t>
    </r>
    <r>
      <rPr>
        <rFont val="Arial"/>
        <color theme="0"/>
        <sz val="12.0"/>
      </rPr>
      <t>:</t>
    </r>
  </si>
  <si>
    <t xml:space="preserve">N/mm        = </t>
  </si>
  <si>
    <t>15a</t>
  </si>
  <si>
    <r>
      <rPr>
        <rFont val="Arial"/>
        <color theme="0"/>
        <sz val="12.0"/>
      </rPr>
      <t xml:space="preserve">Do tại khu vực cắt cốt thép số 3 không bố trí cốt xiên nên </t>
    </r>
    <r>
      <rPr>
        <rFont val="Arial"/>
        <i/>
        <color theme="0"/>
        <sz val="12.0"/>
      </rPr>
      <t>Q</t>
    </r>
    <r>
      <rPr>
        <rFont val="Arial"/>
        <i/>
        <color theme="0"/>
        <sz val="8.0"/>
      </rPr>
      <t>s,inc</t>
    </r>
    <r>
      <rPr>
        <rFont val="Arial"/>
        <color theme="0"/>
        <sz val="12.0"/>
      </rPr>
      <t xml:space="preserve"> = 0, ta có:</t>
    </r>
  </si>
  <si>
    <t>-   0</t>
  </si>
  <si>
    <t>----------------------------------- +</t>
  </si>
  <si>
    <t>5*</t>
  </si>
  <si>
    <t>m            =</t>
  </si>
  <si>
    <t>2*</t>
  </si>
  <si>
    <r>
      <rPr>
        <rFont val="Symbol"/>
        <i/>
        <color theme="0"/>
        <sz val="12.0"/>
      </rPr>
      <t>f</t>
    </r>
    <r>
      <rPr>
        <rFont val="Arial"/>
        <color theme="0"/>
        <sz val="12.0"/>
      </rPr>
      <t xml:space="preserve"> là đường kính thanh thép số 4</t>
    </r>
  </si>
  <si>
    <r>
      <rPr>
        <rFont val="Arial"/>
        <color theme="0"/>
        <sz val="12.0"/>
      </rPr>
      <t>Giá trị lực cắt Q ( độ dốc của biểu đồ mômen) tại H</t>
    </r>
    <r>
      <rPr>
        <rFont val="Arial"/>
        <color theme="0"/>
        <sz val="8.0"/>
      </rPr>
      <t>42</t>
    </r>
    <r>
      <rPr>
        <rFont val="Arial"/>
        <color theme="0"/>
        <sz val="12.0"/>
      </rPr>
      <t xml:space="preserve"> là:</t>
    </r>
  </si>
  <si>
    <t>0,2 *</t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</si>
  <si>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  <vertAlign val="subscript"/>
      </rPr>
      <t>5</t>
    </r>
    <r>
      <rPr>
        <rFont val="Arial"/>
        <i/>
        <color theme="0"/>
        <sz val="12.0"/>
      </rPr>
      <t>, 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  <vertAlign val="subscript"/>
      </rPr>
      <t>6</t>
    </r>
    <r>
      <rPr>
        <rFont val="Arial"/>
        <i/>
        <color theme="0"/>
        <sz val="12.0"/>
      </rPr>
      <t xml:space="preserve"> : là giá trị độ lớn của tung độ M</t>
    </r>
    <r>
      <rPr>
        <rFont val="Arial"/>
        <i/>
        <color theme="0"/>
        <sz val="12.0"/>
        <vertAlign val="superscript"/>
      </rPr>
      <t>-</t>
    </r>
    <r>
      <rPr>
        <rFont val="Arial"/>
        <i/>
        <color theme="0"/>
        <sz val="12.0"/>
      </rPr>
      <t xml:space="preserve"> tại tiết diện 5,6 của dầm, lấy trong bảng 2.2</t>
    </r>
  </si>
  <si>
    <r>
      <rPr>
        <rFont val="Arial"/>
        <color theme="0"/>
        <sz val="12.0"/>
      </rPr>
      <t xml:space="preserve">Tại khu vực này bố trí cốt đai là </t>
    </r>
    <r>
      <rPr>
        <rFont val="Symbol"/>
        <color theme="0"/>
        <sz val="12.0"/>
      </rPr>
      <t>f</t>
    </r>
    <r>
      <rPr>
        <rFont val="Arial"/>
        <color theme="0"/>
        <sz val="12.0"/>
      </rPr>
      <t xml:space="preserve"> 6,        s = </t>
    </r>
  </si>
  <si>
    <r>
      <rPr>
        <rFont val="Arial"/>
        <color theme="0"/>
        <sz val="12.0"/>
      </rPr>
      <t xml:space="preserve">Tính </t>
    </r>
    <r>
      <rPr>
        <rFont val="Arial"/>
        <i/>
        <color theme="0"/>
        <sz val="12.0"/>
      </rPr>
      <t>q</t>
    </r>
    <r>
      <rPr>
        <rFont val="Arial"/>
        <i/>
        <color theme="0"/>
        <sz val="8.0"/>
      </rPr>
      <t>sw</t>
    </r>
    <r>
      <rPr>
        <rFont val="Arial"/>
        <color theme="0"/>
        <sz val="12.0"/>
      </rPr>
      <t>:</t>
    </r>
  </si>
  <si>
    <r>
      <rPr>
        <rFont val="Arial"/>
        <color theme="0"/>
        <sz val="12.0"/>
      </rPr>
      <t xml:space="preserve">Do tại khu vực cắt cốt thép số 3 không bố trí cốt xiên nên </t>
    </r>
    <r>
      <rPr>
        <rFont val="Arial"/>
        <i/>
        <color theme="0"/>
        <sz val="12.0"/>
      </rPr>
      <t>Q</t>
    </r>
    <r>
      <rPr>
        <rFont val="Arial"/>
        <i/>
        <color theme="0"/>
        <sz val="8.0"/>
      </rPr>
      <t>s,inc</t>
    </r>
    <r>
      <rPr>
        <rFont val="Arial"/>
        <color theme="0"/>
        <sz val="12.0"/>
      </rPr>
      <t xml:space="preserve"> = 0, ta có:</t>
    </r>
  </si>
  <si>
    <r>
      <rPr>
        <rFont val="Symbol"/>
        <i/>
        <color theme="0"/>
        <sz val="12.0"/>
      </rPr>
      <t>f</t>
    </r>
    <r>
      <rPr>
        <rFont val="Arial"/>
        <color theme="0"/>
        <sz val="12.0"/>
      </rPr>
      <t xml:space="preserve"> là đường kính thanh thép số 3</t>
    </r>
  </si>
  <si>
    <t xml:space="preserve">* </t>
  </si>
  <si>
    <t>Các cốt thép bị cắt khác cũng xác định mặt cắt lý thuyết và đoạn kéo dài tương tự, kết quả tính toán được ghi vào bảng 3.4</t>
  </si>
  <si>
    <t>Bảng 3.4. mặt cắt lý thuyết và đoạn kéo dài của các cốt thép</t>
  </si>
  <si>
    <t>Cốt</t>
  </si>
  <si>
    <t>thép</t>
  </si>
  <si>
    <t>Mặt cắt lý thuyết</t>
  </si>
  <si>
    <t>Đoạn</t>
  </si>
  <si>
    <t>kéo dài</t>
  </si>
  <si>
    <t>5*f</t>
  </si>
  <si>
    <t>Q</t>
  </si>
  <si>
    <t>2*qsw</t>
  </si>
  <si>
    <t>Cốt thép số 2 (đầu bên trái)</t>
  </si>
  <si>
    <t>Cách mép tường là</t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</si>
  <si>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tr</t>
    </r>
    <r>
      <rPr>
        <rFont val="Arial"/>
        <color theme="0"/>
        <sz val="12.0"/>
        <vertAlign val="subscript"/>
      </rPr>
      <t>2</t>
    </r>
    <r>
      <rPr>
        <rFont val="Arial"/>
        <color theme="0"/>
        <sz val="12.0"/>
      </rPr>
      <t xml:space="preserve"> =</t>
    </r>
  </si>
  <si>
    <t>Cốt thép số 2 (đầu bên phải)</t>
  </si>
  <si>
    <t>Cách mép trái gối 2 là</t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</si>
  <si>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ph</t>
    </r>
    <r>
      <rPr>
        <rFont val="Arial"/>
        <color theme="0"/>
        <sz val="12.0"/>
        <vertAlign val="subscript"/>
      </rPr>
      <t>2</t>
    </r>
    <r>
      <rPr>
        <rFont val="Arial"/>
        <color theme="0"/>
        <sz val="12.0"/>
      </rPr>
      <t xml:space="preserve"> =</t>
    </r>
  </si>
  <si>
    <t>Cốt thép số 6 (đầu bên trái)</t>
  </si>
  <si>
    <t>Cách mép phải gối 2 là</t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</si>
  <si>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tr</t>
    </r>
    <r>
      <rPr>
        <rFont val="Arial"/>
        <color theme="0"/>
        <sz val="12.0"/>
        <vertAlign val="subscript"/>
      </rPr>
      <t>6</t>
    </r>
    <r>
      <rPr>
        <rFont val="Arial"/>
        <color theme="0"/>
        <sz val="12.0"/>
      </rPr>
      <t xml:space="preserve"> =</t>
    </r>
  </si>
  <si>
    <t>Cốt thép số 6 (đầu bên phải)</t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</si>
  <si>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ph</t>
    </r>
    <r>
      <rPr>
        <rFont val="Arial"/>
        <color theme="0"/>
        <sz val="12.0"/>
        <vertAlign val="subscript"/>
      </rPr>
      <t>6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</si>
  <si>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tr</t>
    </r>
    <r>
      <rPr>
        <rFont val="Arial"/>
        <color theme="0"/>
        <sz val="12.0"/>
        <vertAlign val="subscript"/>
      </rPr>
      <t>8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</si>
  <si>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ph</t>
    </r>
    <r>
      <rPr>
        <rFont val="Arial"/>
        <color theme="0"/>
        <sz val="12.0"/>
        <vertAlign val="subscript"/>
      </rPr>
      <t>8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</si>
  <si>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W</t>
    </r>
    <r>
      <rPr>
        <rFont val="Arial"/>
        <color theme="0"/>
        <sz val="12.0"/>
        <vertAlign val="superscript"/>
      </rPr>
      <t>tr</t>
    </r>
    <r>
      <rPr>
        <rFont val="Arial"/>
        <color theme="0"/>
        <sz val="12.0"/>
        <vertAlign val="subscript"/>
      </rPr>
      <t>10</t>
    </r>
    <r>
      <rPr>
        <rFont val="Arial"/>
        <color theme="0"/>
        <sz val="12.0"/>
      </rPr>
      <t xml:space="preserve"> =</t>
    </r>
  </si>
  <si>
    <t>8,</t>
  </si>
  <si>
    <r>
      <rPr>
        <rFont val="Arial"/>
        <color theme="0"/>
        <sz val="12.0"/>
      </rPr>
      <t>Cốt thép số 8( 2</t>
    </r>
    <r>
      <rPr>
        <rFont val="Symbol"/>
        <color theme="0"/>
        <sz val="12.0"/>
      </rPr>
      <t>f</t>
    </r>
    <r>
      <rPr>
        <rFont val="Arial"/>
        <color theme="0"/>
        <sz val="12.0"/>
      </rPr>
      <t>12): cốt thép này được sử dụng làm giá ở nhịp biên, trong đoạn không có mômen âm.</t>
    </r>
  </si>
  <si>
    <t xml:space="preserve">Diện tích cốt thép là: </t>
  </si>
  <si>
    <r>
      <rPr>
        <rFont val="Arial"/>
        <color theme="0"/>
        <sz val="12.0"/>
      </rPr>
      <t>226 mm</t>
    </r>
    <r>
      <rPr>
        <rFont val="Arial"/>
        <color theme="0"/>
        <sz val="12.0"/>
        <vertAlign val="superscript"/>
      </rPr>
      <t>2</t>
    </r>
  </si>
  <si>
    <r>
      <rPr>
        <rFont val="Arial"/>
        <color theme="0"/>
        <sz val="12.0"/>
      </rPr>
      <t>không nhỏ hơn 0,1%</t>
    </r>
    <r>
      <rPr>
        <rFont val="Arial"/>
        <i/>
        <color theme="0"/>
        <sz val="12.0"/>
      </rPr>
      <t>bh</t>
    </r>
    <r>
      <rPr>
        <rFont val="Arial"/>
        <i/>
        <color theme="0"/>
        <sz val="8.0"/>
      </rPr>
      <t>o</t>
    </r>
    <r>
      <rPr>
        <rFont val="Arial"/>
        <color theme="0"/>
        <sz val="12.0"/>
      </rPr>
      <t xml:space="preserve"> = </t>
    </r>
  </si>
  <si>
    <t>0,1 % .</t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</si>
  <si>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</si>
  <si>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t>IV.</t>
  </si>
  <si>
    <t>TÍNH DẦM CHÍNH</t>
  </si>
  <si>
    <t>Dầm chính là dầm liên tục</t>
  </si>
  <si>
    <r>
      <rPr>
        <rFont val="Arial"/>
        <color theme="1"/>
        <sz val="12.0"/>
      </rPr>
      <t xml:space="preserve">nhịp, kích thước tiết diện dầm: </t>
    </r>
    <r>
      <rPr>
        <rFont val="Arial"/>
        <i/>
        <color theme="1"/>
        <sz val="12.0"/>
      </rPr>
      <t>h</t>
    </r>
    <r>
      <rPr>
        <rFont val="Arial"/>
        <i/>
        <color theme="1"/>
        <sz val="8.0"/>
      </rPr>
      <t>dc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</si>
  <si>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 xml:space="preserve">mm, </t>
    </r>
    <r>
      <rPr>
        <rFont val="Arial"/>
        <i/>
        <color theme="1"/>
        <sz val="12.0"/>
      </rPr>
      <t>b</t>
    </r>
    <r>
      <rPr>
        <rFont val="Arial"/>
        <i/>
        <color theme="1"/>
        <sz val="8.0"/>
      </rPr>
      <t>dc</t>
    </r>
    <r>
      <rPr>
        <rFont val="Arial"/>
        <color theme="1"/>
        <sz val="12.0"/>
      </rPr>
      <t>=</t>
    </r>
  </si>
  <si>
    <r>
      <rPr>
        <rFont val="Arial"/>
        <color theme="1"/>
        <sz val="12.0"/>
      </rPr>
      <t xml:space="preserve">Tiết diện cột: </t>
    </r>
    <r>
      <rPr>
        <rFont val="Arial"/>
        <i/>
        <color theme="1"/>
        <sz val="12.0"/>
      </rPr>
      <t xml:space="preserve"> b</t>
    </r>
    <r>
      <rPr>
        <rFont val="Arial"/>
        <i/>
        <color theme="1"/>
        <sz val="8.0"/>
      </rPr>
      <t>c</t>
    </r>
    <r>
      <rPr>
        <rFont val="Arial"/>
        <i/>
        <color theme="1"/>
        <sz val="12.0"/>
      </rPr>
      <t xml:space="preserve"> </t>
    </r>
    <r>
      <rPr>
        <rFont val="Arial"/>
        <i/>
        <color theme="1"/>
        <sz val="8.0"/>
      </rPr>
      <t>x</t>
    </r>
    <r>
      <rPr>
        <rFont val="Arial"/>
        <i/>
        <color theme="1"/>
        <sz val="12.0"/>
      </rPr>
      <t xml:space="preserve"> h</t>
    </r>
    <r>
      <rPr>
        <rFont val="Arial"/>
        <i/>
        <color theme="1"/>
        <sz val="8.0"/>
      </rPr>
      <t>c</t>
    </r>
    <r>
      <rPr>
        <rFont val="Arial"/>
        <i/>
        <color theme="1"/>
        <sz val="12.0"/>
      </rPr>
      <t xml:space="preserve"> =</t>
    </r>
    <r>
      <rPr>
        <rFont val="Arial"/>
        <color theme="1"/>
        <sz val="12.0"/>
      </rPr>
      <t xml:space="preserve"> </t>
    </r>
  </si>
  <si>
    <r>
      <rPr>
        <rFont val="Arial"/>
        <color theme="1"/>
        <sz val="12.0"/>
      </rPr>
      <t xml:space="preserve">Nhịp tính toán ở nhịp bien và nhịp giữa đều bằng  </t>
    </r>
    <r>
      <rPr>
        <rFont val="Arial"/>
        <i/>
        <color theme="1"/>
        <sz val="12.0"/>
      </rPr>
      <t>l =</t>
    </r>
  </si>
  <si>
    <t>Trọng lượng bản thân dầm quy về các lực tập trung:</t>
  </si>
  <si>
    <r>
      <rPr>
        <rFont val="Arial"/>
        <i/>
        <color theme="1"/>
        <sz val="12.0"/>
      </rPr>
      <t>G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= b</t>
    </r>
    <r>
      <rPr>
        <rFont val="Arial"/>
        <i/>
        <color theme="1"/>
        <sz val="12.0"/>
        <vertAlign val="subscript"/>
      </rPr>
      <t>dc</t>
    </r>
    <r>
      <rPr>
        <rFont val="Arial"/>
        <i/>
        <color theme="1"/>
        <sz val="12.0"/>
      </rPr>
      <t>(h</t>
    </r>
    <r>
      <rPr>
        <rFont val="Arial"/>
        <i/>
        <color theme="1"/>
        <sz val="12.0"/>
        <vertAlign val="subscript"/>
      </rPr>
      <t>dc</t>
    </r>
    <r>
      <rPr>
        <rFont val="Arial"/>
        <i/>
        <color theme="1"/>
        <sz val="12.0"/>
      </rPr>
      <t xml:space="preserve"> – h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>)</t>
    </r>
    <r>
      <rPr>
        <rFont val="Symbol"/>
        <i/>
        <color theme="1"/>
        <sz val="12.0"/>
      </rPr>
      <t>g</t>
    </r>
    <r>
      <rPr>
        <rFont val="Arial"/>
        <i/>
        <color theme="1"/>
        <sz val="12.0"/>
      </rPr>
      <t>.n.l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 </t>
    </r>
  </si>
  <si>
    <t>Tĩnh tải do dầm phụ truyền vào:</t>
  </si>
  <si>
    <r>
      <rPr>
        <rFont val="Arial"/>
        <i/>
        <color theme="1"/>
        <sz val="12.0"/>
      </rPr>
      <t>G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 g</t>
    </r>
    <r>
      <rPr>
        <rFont val="Arial"/>
        <i/>
        <color theme="1"/>
        <sz val="12.0"/>
        <vertAlign val="subscript"/>
      </rPr>
      <t>dp</t>
    </r>
    <r>
      <rPr>
        <rFont val="Arial"/>
        <i/>
        <color theme="1"/>
        <sz val="12.0"/>
      </rPr>
      <t>.l</t>
    </r>
    <r>
      <rPr>
        <rFont val="Arial"/>
        <i/>
        <color theme="1"/>
        <sz val="12.0"/>
        <vertAlign val="subscript"/>
      </rPr>
      <t>2</t>
    </r>
    <r>
      <rPr>
        <rFont val="Arial"/>
        <i/>
        <color theme="1"/>
        <sz val="12.0"/>
      </rPr>
      <t xml:space="preserve"> = </t>
    </r>
  </si>
  <si>
    <t>Tĩnh tải tác dụng tập trung:</t>
  </si>
  <si>
    <r>
      <rPr>
        <rFont val="Arial"/>
        <i/>
        <color theme="1"/>
        <sz val="12.0"/>
      </rPr>
      <t>G = G</t>
    </r>
    <r>
      <rPr>
        <rFont val="Arial"/>
        <i/>
        <color theme="1"/>
        <sz val="12.0"/>
        <vertAlign val="subscript"/>
      </rPr>
      <t xml:space="preserve">o </t>
    </r>
    <r>
      <rPr>
        <rFont val="Arial"/>
        <i/>
        <color theme="1"/>
        <sz val="12.0"/>
      </rPr>
      <t>+ G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 </t>
    </r>
  </si>
  <si>
    <t>Hoạt tải tác dụng tập trung truyền vào từ dầm phụ:</t>
  </si>
  <si>
    <r>
      <rPr>
        <rFont val="Arial"/>
        <i/>
        <color theme="1"/>
        <sz val="12.0"/>
      </rPr>
      <t>P = p</t>
    </r>
    <r>
      <rPr>
        <rFont val="Arial"/>
        <i/>
        <color theme="1"/>
        <sz val="12.0"/>
        <vertAlign val="subscript"/>
      </rPr>
      <t>dp</t>
    </r>
    <r>
      <rPr>
        <rFont val="Arial"/>
        <i/>
        <color theme="1"/>
        <sz val="12.0"/>
      </rPr>
      <t xml:space="preserve"> . l</t>
    </r>
    <r>
      <rPr>
        <rFont val="Arial"/>
        <i/>
        <color theme="1"/>
        <sz val="12.0"/>
        <vertAlign val="subscript"/>
      </rPr>
      <t>2</t>
    </r>
    <r>
      <rPr>
        <rFont val="Arial"/>
        <i/>
        <color theme="1"/>
        <sz val="12.0"/>
      </rPr>
      <t xml:space="preserve"> =</t>
    </r>
  </si>
  <si>
    <t>a, Xác định biểu đồ bao mômen</t>
  </si>
  <si>
    <t>Tìm các trường hợp tải trọng tác dụng gây bất lợi cho dầm (hình vẽ 9):</t>
  </si>
  <si>
    <t>Xác định biểu đồ mô men uốn do tĩnh tải G:</t>
  </si>
  <si>
    <r>
      <rPr>
        <rFont val="Arial"/>
        <color theme="1"/>
        <sz val="12.0"/>
      </rPr>
      <t xml:space="preserve">Tra phụ lục 12, được hệ số </t>
    </r>
    <r>
      <rPr>
        <rFont val="Symbol"/>
        <color theme="1"/>
        <sz val="12.0"/>
      </rPr>
      <t>a</t>
    </r>
    <r>
      <rPr>
        <rFont val="Arial"/>
        <color theme="1"/>
        <sz val="12.0"/>
      </rPr>
      <t>, ta có: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</si>
  <si>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G</t>
    </r>
    <r>
      <rPr>
        <rFont val="Arial"/>
        <i/>
        <color theme="1"/>
        <sz val="12.0"/>
      </rPr>
      <t xml:space="preserve"> =</t>
    </r>
    <r>
      <rPr>
        <rFont val="Symbol"/>
        <i/>
        <color theme="1"/>
        <sz val="12.0"/>
      </rPr>
      <t>a</t>
    </r>
    <r>
      <rPr>
        <rFont val="Arial"/>
        <i/>
        <color theme="1"/>
        <sz val="12.0"/>
      </rPr>
      <t>.G.3l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 </t>
    </r>
    <r>
      <rPr>
        <rFont val="Symbol"/>
        <i/>
        <color theme="1"/>
        <sz val="12.0"/>
      </rPr>
      <t>a</t>
    </r>
    <r>
      <rPr>
        <rFont val="Arial"/>
        <i/>
        <color theme="1"/>
        <sz val="12.0"/>
      </rPr>
      <t>.</t>
    </r>
  </si>
  <si>
    <t>.3.</t>
  </si>
  <si>
    <r>
      <rPr>
        <rFont val="Arial"/>
        <color theme="1"/>
        <sz val="12.0"/>
      </rPr>
      <t xml:space="preserve">=  </t>
    </r>
    <r>
      <rPr>
        <rFont val="Symbol"/>
        <color theme="1"/>
        <sz val="12.0"/>
      </rPr>
      <t>a .</t>
    </r>
  </si>
  <si>
    <r>
      <rPr>
        <rFont val="Arial"/>
        <color theme="1"/>
        <sz val="12.0"/>
      </rPr>
      <t xml:space="preserve">Xác định các biểu đồ mômen uốn do các hoạt tải </t>
    </r>
    <r>
      <rPr>
        <rFont val="Arial"/>
        <i/>
        <color theme="1"/>
        <sz val="12.0"/>
      </rPr>
      <t>P</t>
    </r>
    <r>
      <rPr>
        <rFont val="Arial"/>
        <i/>
        <color theme="1"/>
        <sz val="8.0"/>
      </rPr>
      <t>i</t>
    </r>
    <r>
      <rPr>
        <rFont val="Arial"/>
        <color theme="1"/>
        <sz val="12.0"/>
      </rPr>
      <t xml:space="preserve"> tác dụng:</t>
    </r>
  </si>
  <si>
    <t xml:space="preserve">Xét </t>
  </si>
  <si>
    <t>trường hợp bất lợi của hoạt tải, xem hình….</t>
  </si>
  <si>
    <t>Ta có:</t>
  </si>
  <si>
    <r>
      <rPr>
        <rFont val="Arial"/>
        <i/>
        <color theme="1"/>
        <sz val="12.0"/>
      </rPr>
      <t>Mp</t>
    </r>
    <r>
      <rPr>
        <rFont val="Arial"/>
        <i/>
        <color theme="1"/>
        <sz val="12.0"/>
        <vertAlign val="subscript"/>
      </rPr>
      <t>i</t>
    </r>
    <r>
      <rPr>
        <rFont val="Arial"/>
        <i/>
        <color theme="1"/>
        <sz val="12.0"/>
      </rPr>
      <t xml:space="preserve"> =</t>
    </r>
    <r>
      <rPr>
        <rFont val="Symbol"/>
        <i/>
        <color theme="1"/>
        <sz val="12.0"/>
      </rPr>
      <t>a</t>
    </r>
    <r>
      <rPr>
        <rFont val="Arial"/>
        <i/>
        <color theme="1"/>
        <sz val="12.0"/>
      </rPr>
      <t>.P.3l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</t>
    </r>
  </si>
  <si>
    <t xml:space="preserve">a. </t>
  </si>
  <si>
    <t>. 3 .</t>
  </si>
  <si>
    <r>
      <rPr>
        <rFont val="Arial"/>
        <color theme="1"/>
        <sz val="12.0"/>
      </rPr>
      <t xml:space="preserve">=  </t>
    </r>
    <r>
      <rPr>
        <rFont val="Symbol"/>
        <color theme="1"/>
        <sz val="12.0"/>
      </rPr>
      <t>a</t>
    </r>
    <r>
      <rPr>
        <rFont val="Arial"/>
        <color theme="1"/>
        <sz val="12.0"/>
      </rPr>
      <t xml:space="preserve"> .</t>
    </r>
  </si>
  <si>
    <r>
      <rPr>
        <rFont val="Arial"/>
        <color theme="1"/>
        <sz val="12.0"/>
      </rPr>
      <t xml:space="preserve">Để tính toán tiến hành cắt rời các nhịp 1-2, 2-3. Nhịp 1 và 2 có tải trọng, tính </t>
    </r>
    <r>
      <rPr>
        <rFont val="Arial"/>
        <i/>
        <color theme="1"/>
        <sz val="12.0"/>
      </rPr>
      <t>M</t>
    </r>
    <r>
      <rPr>
        <rFont val="Arial"/>
        <i/>
        <color theme="1"/>
        <sz val="8.0"/>
      </rPr>
      <t>o</t>
    </r>
    <r>
      <rPr>
        <rFont val="Arial"/>
        <color theme="1"/>
        <sz val="12.0"/>
      </rPr>
      <t xml:space="preserve"> của dầm đơn giản kê lên hai gối tự do: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</si>
  <si>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= P.l</t>
    </r>
    <r>
      <rPr>
        <rFont val="Arial"/>
        <i/>
        <color theme="1"/>
        <sz val="12.0"/>
        <vertAlign val="subscript"/>
      </rPr>
      <t>1</t>
    </r>
    <r>
      <rPr>
        <rFont val="Arial"/>
        <i/>
        <color theme="1"/>
        <sz val="12.0"/>
      </rPr>
      <t xml:space="preserve"> =</t>
    </r>
  </si>
  <si>
    <t>Dùng phương pháp treo biểu đồ, kết hợp các quan hệ tam giác đồng dạng (hình vẽ 9), xác định được giá trị mômen:</t>
  </si>
  <si>
    <t>Mô</t>
  </si>
  <si>
    <t xml:space="preserve">men </t>
  </si>
  <si>
    <t>(kN</t>
  </si>
  <si>
    <t>m)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</si>
  <si>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G</t>
    </r>
  </si>
  <si>
    <t>M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</si>
  <si>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P1</t>
    </r>
  </si>
  <si>
    <t>max</t>
  </si>
  <si>
    <t xml:space="preserve">bàng này </t>
  </si>
  <si>
    <t>bỏ nhé</t>
  </si>
  <si>
    <t>min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</si>
  <si>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G</t>
    </r>
  </si>
  <si>
    <r>
      <rPr>
        <rFont val="Arial"/>
        <color theme="1"/>
        <sz val="12.0"/>
      </rPr>
      <t>M</t>
    </r>
    <r>
      <rPr>
        <rFont val="Arial"/>
        <color theme="1"/>
        <sz val="8.0"/>
      </rPr>
      <t>P1</t>
    </r>
  </si>
  <si>
    <r>
      <rPr>
        <rFont val="Arial"/>
        <color theme="1"/>
        <sz val="12.0"/>
      </rPr>
      <t>M</t>
    </r>
    <r>
      <rPr>
        <rFont val="Arial"/>
        <color theme="1"/>
        <sz val="8.0"/>
      </rPr>
      <t>P2</t>
    </r>
  </si>
  <si>
    <r>
      <rPr>
        <rFont val="Arial"/>
        <color theme="1"/>
        <sz val="12.0"/>
      </rPr>
      <t>M</t>
    </r>
    <r>
      <rPr>
        <rFont val="Arial"/>
        <color theme="1"/>
        <sz val="8.0"/>
      </rPr>
      <t>P3</t>
    </r>
  </si>
  <si>
    <r>
      <rPr>
        <rFont val="Arial"/>
        <color theme="1"/>
        <sz val="12.0"/>
      </rPr>
      <t>M</t>
    </r>
    <r>
      <rPr>
        <rFont val="Arial"/>
        <color theme="1"/>
        <sz val="8.0"/>
      </rPr>
      <t>P4</t>
    </r>
  </si>
  <si>
    <t>4 NHỊP DẦM CHÍNH THÌ XEM BẢNG NÀY</t>
  </si>
  <si>
    <t>G=</t>
  </si>
  <si>
    <t>P=</t>
  </si>
  <si>
    <t>3 NHỊP DẦM CHÍNH THÌ XEM BẢNG NÀY</t>
  </si>
  <si>
    <t xml:space="preserve">                          Tính toán và tổ hợp lực cắt</t>
  </si>
  <si>
    <t>S¬ ®å</t>
  </si>
  <si>
    <t>§o¹n</t>
  </si>
  <si>
    <t>Bªn ph¶i gèi A</t>
  </si>
  <si>
    <t>Gi÷a nhÞp biªn</t>
  </si>
  <si>
    <t>Bªn tr¸i gèi B</t>
  </si>
  <si>
    <t>Bªn ph¶i gèi B</t>
  </si>
  <si>
    <t>Gi÷a nhÞp gi÷a</t>
  </si>
  <si>
    <t>Bªn tr¸i gèi C</t>
  </si>
  <si>
    <t>Qg</t>
  </si>
  <si>
    <t>C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</si>
  <si>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G</t>
    </r>
  </si>
  <si>
    <t>Qp1</t>
  </si>
  <si>
    <t>0 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</si>
  <si>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P1</t>
    </r>
  </si>
  <si>
    <t>Qp2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</si>
  <si>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P2</t>
    </r>
  </si>
  <si>
    <t>Qp3</t>
  </si>
  <si>
    <t>P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</si>
  <si>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P3</t>
    </r>
  </si>
  <si>
    <t>Qp4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</si>
  <si>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P4</t>
    </r>
  </si>
  <si>
    <t>Qp5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</si>
  <si>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P5</t>
    </r>
  </si>
  <si>
    <t>Qp6</t>
  </si>
  <si>
    <r>
      <rPr>
        <rFont val="Arial"/>
        <color theme="1"/>
        <sz val="12.0"/>
      </rPr>
      <t>M</t>
    </r>
    <r>
      <rPr>
        <rFont val="Arial"/>
        <color theme="1"/>
        <sz val="8.0"/>
      </rPr>
      <t>P6</t>
    </r>
  </si>
  <si>
    <t>Qmin</t>
  </si>
  <si>
    <t>Qmax</t>
  </si>
  <si>
    <t xml:space="preserve">4.Tính cốt thép dọc chịu lực </t>
  </si>
  <si>
    <t>Rb=</t>
  </si>
  <si>
    <t>Mpa</t>
  </si>
  <si>
    <t>Rs=</t>
  </si>
  <si>
    <r>
      <rPr>
        <rFont val="Noto Sans Symbols"/>
        <color theme="1"/>
        <sz val="14.0"/>
      </rPr>
      <t>x</t>
    </r>
    <r>
      <rPr>
        <rFont val="Times New Roman"/>
        <color theme="1"/>
        <sz val="8.0"/>
      </rPr>
      <t>R=</t>
    </r>
  </si>
  <si>
    <r>
      <rPr>
        <rFont val="Noto Sans Symbols"/>
        <color theme="1"/>
        <sz val="14.0"/>
      </rPr>
      <t>z</t>
    </r>
    <r>
      <rPr>
        <rFont val="Times New Roman"/>
        <color theme="1"/>
        <sz val="8.0"/>
      </rPr>
      <t>R=</t>
    </r>
  </si>
  <si>
    <r>
      <rPr>
        <rFont val="Noto Sans Symbols"/>
        <color theme="1"/>
        <sz val="14.0"/>
      </rPr>
      <t>a</t>
    </r>
    <r>
      <rPr>
        <rFont val="Times New Roman"/>
        <color theme="1"/>
        <sz val="8.0"/>
      </rPr>
      <t>R=</t>
    </r>
  </si>
  <si>
    <t>a. với momen âm.</t>
  </si>
  <si>
    <t>tính theo tiết diện chữ nhật</t>
  </si>
  <si>
    <t>b=</t>
  </si>
  <si>
    <t>h=</t>
  </si>
  <si>
    <t>giả thiết a=</t>
  </si>
  <si>
    <t>cộng thêm đường kính thanh thép lớp nhất dầm phụ do thanh thép đặt dưới thép dầm phụ</t>
  </si>
  <si>
    <t>suy ra ho=</t>
  </si>
  <si>
    <t>Tại gối B, với Mmg=</t>
  </si>
  <si>
    <t>Biểu đồ bao mômen:</t>
  </si>
  <si>
    <t>Tung độ của biểu đồ bao mômen:</t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</si>
  <si>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max</t>
    </r>
    <r>
      <rPr>
        <rFont val="Arial"/>
        <i/>
        <color theme="1"/>
        <sz val="12.0"/>
      </rPr>
      <t xml:space="preserve"> = M</t>
    </r>
    <r>
      <rPr>
        <rFont val="Arial"/>
        <i/>
        <color theme="1"/>
        <sz val="12.0"/>
        <vertAlign val="subscript"/>
      </rPr>
      <t>G</t>
    </r>
    <r>
      <rPr>
        <rFont val="Arial"/>
        <i/>
        <color theme="1"/>
        <sz val="12.0"/>
      </rPr>
      <t xml:space="preserve"> + max(M</t>
    </r>
    <r>
      <rPr>
        <rFont val="Arial"/>
        <i/>
        <color theme="1"/>
        <sz val="12.0"/>
        <vertAlign val="subscript"/>
      </rPr>
      <t>Pi</t>
    </r>
    <r>
      <rPr>
        <rFont val="Arial"/>
        <i/>
        <color theme="1"/>
        <sz val="12.0"/>
      </rPr>
      <t>);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</si>
  <si>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min</t>
    </r>
    <r>
      <rPr>
        <rFont val="Arial"/>
        <i/>
        <color theme="1"/>
        <sz val="12.0"/>
      </rPr>
      <t xml:space="preserve"> = M</t>
    </r>
    <r>
      <rPr>
        <rFont val="Arial"/>
        <i/>
        <color theme="1"/>
        <sz val="12.0"/>
        <vertAlign val="subscript"/>
      </rPr>
      <t>G</t>
    </r>
    <r>
      <rPr>
        <rFont val="Arial"/>
        <i/>
        <color theme="1"/>
        <sz val="12.0"/>
      </rPr>
      <t xml:space="preserve"> + min(M</t>
    </r>
    <r>
      <rPr>
        <rFont val="Arial"/>
        <i/>
        <color theme="1"/>
        <sz val="12.0"/>
        <vertAlign val="subscript"/>
      </rPr>
      <t>Pi</t>
    </r>
    <r>
      <rPr>
        <rFont val="Arial"/>
        <i/>
        <color theme="1"/>
        <sz val="12.0"/>
      </rPr>
      <t xml:space="preserve">) </t>
    </r>
  </si>
  <si>
    <r>
      <rPr>
        <rFont val="Arial"/>
        <color theme="1"/>
        <sz val="12.0"/>
      </rPr>
      <t xml:space="preserve">Tính toán </t>
    </r>
    <r>
      <rPr>
        <rFont val="Arial"/>
        <i/>
        <color theme="1"/>
        <sz val="12.0"/>
      </rPr>
      <t>M</t>
    </r>
    <r>
      <rPr>
        <rFont val="Arial"/>
        <i/>
        <color theme="1"/>
        <sz val="8.0"/>
      </rPr>
      <t>max</t>
    </r>
    <r>
      <rPr>
        <rFont val="Arial"/>
        <color theme="1"/>
        <sz val="12.0"/>
      </rPr>
      <t xml:space="preserve"> và </t>
    </r>
    <r>
      <rPr>
        <rFont val="Arial"/>
        <i/>
        <color theme="1"/>
        <sz val="12.0"/>
      </rPr>
      <t>M</t>
    </r>
    <r>
      <rPr>
        <rFont val="Arial"/>
        <i/>
        <color theme="1"/>
        <sz val="8.0"/>
      </rPr>
      <t>min</t>
    </r>
    <r>
      <rPr>
        <rFont val="Arial"/>
        <color theme="1"/>
        <sz val="12.0"/>
      </rPr>
      <t xml:space="preserve"> cho từng tiết diện và ghi vào 2 dòng cuối của bảng 4.1</t>
    </r>
  </si>
  <si>
    <t>Xác định mô men ở mép gối: từ hình bao mô men trên gối B, thấy rằng phía bên phải độ dốc của</t>
  </si>
  <si>
    <t>biểu đồ Mmin bé hơn phía bên trái. Tính mô men mép bên phía phải gối B sẽ có giá trị tuyệt đối lớn hơn.</t>
  </si>
  <si>
    <r>
      <rPr>
        <rFont val="Arial"/>
        <i/>
        <color theme="1"/>
        <sz val="12.0"/>
      </rPr>
      <t>M</t>
    </r>
    <r>
      <rPr>
        <rFont val="Arial"/>
        <i/>
        <color theme="1"/>
        <sz val="8.0"/>
      </rPr>
      <t>3</t>
    </r>
    <r>
      <rPr>
        <rFont val="Arial"/>
        <color theme="1"/>
        <sz val="12.0"/>
      </rPr>
      <t xml:space="preserve"> = </t>
    </r>
  </si>
  <si>
    <t>.(</t>
  </si>
  <si>
    <r>
      <rPr>
        <rFont val="Arial"/>
        <color theme="1"/>
        <sz val="16.0"/>
      </rPr>
      <t>-</t>
    </r>
    <r>
      <rPr>
        <rFont val="Arial"/>
        <color theme="1"/>
        <sz val="12.0"/>
      </rPr>
      <t xml:space="preserve">   ------------------------------------------------------------------------------   =</t>
    </r>
  </si>
  <si>
    <t>2 .</t>
  </si>
  <si>
    <r>
      <rPr>
        <rFont val="Arial"/>
        <color theme="1"/>
        <sz val="12.0"/>
      </rPr>
      <t>mm</t>
    </r>
    <r>
      <rPr>
        <rFont val="Arial"/>
        <color theme="1"/>
        <sz val="12.0"/>
        <vertAlign val="superscript"/>
      </rPr>
      <t>2</t>
    </r>
  </si>
  <si>
    <t>b, Xác định biểu đồ bao lực cắt</t>
  </si>
  <si>
    <t>Tung độ của biểu đồ bao lực cắt:</t>
  </si>
  <si>
    <r>
      <rPr>
        <rFont val="Arial"/>
        <color theme="1"/>
        <sz val="12.0"/>
      </rPr>
      <t xml:space="preserve">- Do tác dụng của tĩnh tải G: </t>
    </r>
    <r>
      <rPr>
        <rFont val="Arial"/>
        <i/>
        <color theme="1"/>
        <sz val="12.0"/>
      </rPr>
      <t>Q</t>
    </r>
    <r>
      <rPr>
        <rFont val="Arial"/>
        <color theme="1"/>
        <sz val="8.0"/>
      </rPr>
      <t xml:space="preserve">G </t>
    </r>
    <r>
      <rPr>
        <rFont val="Arial"/>
        <color theme="1"/>
        <sz val="12.0"/>
      </rPr>
      <t xml:space="preserve">= </t>
    </r>
    <r>
      <rPr>
        <rFont val="Symbol"/>
        <color theme="1"/>
        <sz val="12.0"/>
      </rPr>
      <t>b</t>
    </r>
    <r>
      <rPr>
        <rFont val="Arial"/>
        <color theme="1"/>
        <sz val="8.0"/>
      </rPr>
      <t>G</t>
    </r>
    <r>
      <rPr>
        <rFont val="Arial"/>
        <color theme="1"/>
        <sz val="12.0"/>
      </rPr>
      <t xml:space="preserve"> = </t>
    </r>
    <r>
      <rPr>
        <rFont val="Symbol"/>
        <color theme="1"/>
        <sz val="12.0"/>
      </rPr>
      <t>b</t>
    </r>
    <r>
      <rPr>
        <rFont val="Arial"/>
        <color theme="1"/>
        <sz val="12.0"/>
      </rPr>
      <t xml:space="preserve"> </t>
    </r>
    <r>
      <rPr>
        <rFont val="Arial"/>
        <color theme="1"/>
        <sz val="8.0"/>
      </rPr>
      <t>x</t>
    </r>
  </si>
  <si>
    <t>(kN).</t>
  </si>
  <si>
    <r>
      <rPr>
        <rFont val="Arial"/>
        <color theme="1"/>
        <sz val="12.0"/>
      </rPr>
      <t>- Do tác dụng của hoạt tải Pi: Q</t>
    </r>
    <r>
      <rPr>
        <rFont val="Arial"/>
        <color theme="1"/>
        <sz val="8.0"/>
      </rPr>
      <t>Pi</t>
    </r>
    <r>
      <rPr>
        <rFont val="Arial"/>
        <color theme="1"/>
        <sz val="12.0"/>
      </rPr>
      <t xml:space="preserve"> = </t>
    </r>
    <r>
      <rPr>
        <rFont val="Symbol"/>
        <color theme="1"/>
        <sz val="12.0"/>
      </rPr>
      <t>b</t>
    </r>
    <r>
      <rPr>
        <rFont val="Arial"/>
        <color theme="1"/>
        <sz val="12.0"/>
      </rPr>
      <t>P</t>
    </r>
    <r>
      <rPr>
        <rFont val="Arial"/>
        <color theme="1"/>
        <sz val="8.0"/>
      </rPr>
      <t>i</t>
    </r>
    <r>
      <rPr>
        <rFont val="Arial"/>
        <color theme="1"/>
        <sz val="12.0"/>
      </rPr>
      <t xml:space="preserve"> = </t>
    </r>
    <r>
      <rPr>
        <rFont val="Symbol"/>
        <color theme="1"/>
        <sz val="12.0"/>
      </rPr>
      <t>b</t>
    </r>
    <r>
      <rPr>
        <rFont val="Arial"/>
        <color theme="1"/>
        <sz val="8.0"/>
      </rPr>
      <t>i</t>
    </r>
    <r>
      <rPr>
        <rFont val="Arial"/>
        <color theme="1"/>
        <sz val="12.0"/>
      </rPr>
      <t xml:space="preserve"> </t>
    </r>
    <r>
      <rPr>
        <rFont val="Arial"/>
        <color theme="1"/>
        <sz val="8.0"/>
      </rPr>
      <t>x</t>
    </r>
  </si>
  <si>
    <t>Trong đó hệ số b lấy theo phụ lục 12, các trường hợp tải trọng lấy theo hình 10, kết quả ghi trong bảng 4.2:</t>
  </si>
  <si>
    <t>Tại gối C, với Mmg=</t>
  </si>
  <si>
    <t>( Nếu DC 4 nhịp thì lấy gối C)</t>
  </si>
  <si>
    <r>
      <rPr>
        <rFont val="Symbol"/>
        <color theme="1"/>
        <sz val="16.0"/>
      </rPr>
      <t>a</t>
    </r>
    <r>
      <rPr>
        <rFont val="Times New Roman"/>
        <color theme="1"/>
        <sz val="12.0"/>
      </rPr>
      <t>m=</t>
    </r>
  </si>
  <si>
    <t>z=</t>
  </si>
  <si>
    <t>As=</t>
  </si>
  <si>
    <t>mm2</t>
  </si>
  <si>
    <t>m%=</t>
  </si>
  <si>
    <r>
      <rPr>
        <rFont val="Arial"/>
        <i/>
        <color theme="1"/>
        <sz val="12.0"/>
      </rPr>
      <t>h’</t>
    </r>
    <r>
      <rPr>
        <rFont val="Arial"/>
        <i/>
        <color theme="1"/>
        <sz val="12.0"/>
        <vertAlign val="subscript"/>
      </rPr>
      <t xml:space="preserve">f </t>
    </r>
    <r>
      <rPr>
        <rFont val="Arial"/>
        <i/>
        <color theme="1"/>
        <sz val="12.0"/>
      </rPr>
      <t>=</t>
    </r>
  </si>
  <si>
    <t>a=</t>
  </si>
  <si>
    <r>
      <rPr>
        <rFont val="Arial"/>
        <color theme="1"/>
        <sz val="12.0"/>
      </rPr>
      <t>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</si>
  <si>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r>
      <rPr>
        <rFont val="Arial"/>
        <color theme="1"/>
        <sz val="12.0"/>
      </rPr>
      <t>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= </t>
    </r>
  </si>
  <si>
    <t xml:space="preserve">(1/6).ld = </t>
  </si>
  <si>
    <r>
      <rPr>
        <rFont val="Arial"/>
        <color theme="1"/>
        <sz val="12.0"/>
      </rPr>
      <t>0,5.l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 </t>
    </r>
  </si>
  <si>
    <r>
      <rPr>
        <rFont val="Arial"/>
        <color theme="1"/>
        <sz val="12.0"/>
      </rPr>
      <t>Vậy 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≤ min( </t>
    </r>
  </si>
  <si>
    <r>
      <rPr>
        <rFont val="Arial"/>
        <color theme="1"/>
        <sz val="12.0"/>
      </rPr>
      <t>Chọn  S</t>
    </r>
    <r>
      <rPr>
        <rFont val="Arial"/>
        <color theme="1"/>
        <sz val="12.0"/>
        <vertAlign val="subscript"/>
      </rPr>
      <t>f</t>
    </r>
    <r>
      <rPr>
        <rFont val="Arial"/>
        <color theme="1"/>
        <sz val="12.0"/>
      </rPr>
      <t xml:space="preserve">  = </t>
    </r>
  </si>
  <si>
    <r>
      <rPr>
        <rFont val="Arial"/>
        <color theme="1"/>
        <sz val="12.0"/>
      </rPr>
      <t xml:space="preserve">Bề rộng cánh </t>
    </r>
    <r>
      <rPr>
        <rFont val="Arial"/>
        <i/>
        <color theme="1"/>
        <sz val="12.0"/>
      </rPr>
      <t>b’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</t>
    </r>
    <r>
      <rPr>
        <rFont val="Arial"/>
        <color theme="1"/>
        <sz val="12.0"/>
      </rPr>
      <t xml:space="preserve">= </t>
    </r>
    <r>
      <rPr>
        <rFont val="Arial"/>
        <i/>
        <color theme="1"/>
        <sz val="12.0"/>
      </rPr>
      <t>b +2S</t>
    </r>
    <r>
      <rPr>
        <rFont val="Arial"/>
        <i/>
        <color theme="1"/>
        <sz val="12.0"/>
        <vertAlign val="subscript"/>
      </rPr>
      <t xml:space="preserve">f </t>
    </r>
    <r>
      <rPr>
        <rFont val="Arial"/>
        <i/>
        <color theme="1"/>
        <sz val="12.0"/>
      </rPr>
      <t>=</t>
    </r>
  </si>
  <si>
    <r>
      <rPr>
        <rFont val="Arial"/>
        <color theme="1"/>
        <sz val="12.0"/>
      </rPr>
      <t xml:space="preserve">Tính </t>
    </r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 R</t>
    </r>
    <r>
      <rPr>
        <rFont val="Arial"/>
        <i/>
        <color theme="1"/>
        <sz val="12.0"/>
        <vertAlign val="subscript"/>
      </rPr>
      <t>b</t>
    </r>
    <r>
      <rPr>
        <rFont val="Arial"/>
        <i/>
        <color theme="1"/>
        <sz val="12.0"/>
      </rPr>
      <t xml:space="preserve"> . b’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.h’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.(h</t>
    </r>
    <r>
      <rPr>
        <rFont val="Arial"/>
        <i/>
        <color theme="1"/>
        <sz val="12.0"/>
        <vertAlign val="subscript"/>
      </rPr>
      <t>o</t>
    </r>
    <r>
      <rPr>
        <rFont val="Arial"/>
        <i/>
        <color theme="1"/>
        <sz val="12.0"/>
      </rPr>
      <t xml:space="preserve"> -0,5h’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>)</t>
    </r>
    <r>
      <rPr>
        <rFont val="Arial"/>
        <color theme="1"/>
        <sz val="12.0"/>
      </rPr>
      <t xml:space="preserve"> =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</si>
  <si>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</t>
    </r>
  </si>
  <si>
    <r>
      <rPr>
        <rFont val="Arial"/>
        <color theme="1"/>
        <sz val="12.0"/>
      </rPr>
      <t xml:space="preserve">-     0,5 </t>
    </r>
    <r>
      <rPr>
        <rFont val="Arial"/>
        <color theme="1"/>
        <sz val="8.0"/>
      </rPr>
      <t>x</t>
    </r>
  </si>
  <si>
    <t>KNm.</t>
  </si>
  <si>
    <r>
      <rPr>
        <rFont val="Arial"/>
        <color theme="1"/>
        <sz val="12.0"/>
      </rPr>
      <t>Vậy M</t>
    </r>
    <r>
      <rPr>
        <rFont val="Arial"/>
        <color theme="1"/>
        <sz val="12.0"/>
        <vertAlign val="superscript"/>
      </rPr>
      <t>+</t>
    </r>
    <r>
      <rPr>
        <rFont val="Arial"/>
        <color theme="1"/>
        <sz val="12.0"/>
        <vertAlign val="subscript"/>
      </rPr>
      <t xml:space="preserve">max </t>
    </r>
    <r>
      <rPr>
        <rFont val="Arial"/>
        <color theme="1"/>
        <sz val="12.0"/>
      </rPr>
      <t>=</t>
    </r>
  </si>
  <si>
    <r>
      <rPr>
        <rFont val="Arial"/>
        <i/>
        <color theme="1"/>
        <sz val="12.0"/>
      </rPr>
      <t>M</t>
    </r>
    <r>
      <rPr>
        <rFont val="Arial"/>
        <i/>
        <color theme="1"/>
        <sz val="12.0"/>
        <vertAlign val="subscript"/>
      </rPr>
      <t>f</t>
    </r>
    <r>
      <rPr>
        <rFont val="Arial"/>
        <i/>
        <color theme="1"/>
        <sz val="12.0"/>
      </rPr>
      <t xml:space="preserve"> =</t>
    </r>
  </si>
  <si>
    <r>
      <rPr>
        <rFont val="Arial"/>
        <color theme="1"/>
        <sz val="12.0"/>
      </rPr>
      <t xml:space="preserve">Tính theo tiết diện chữ nhật </t>
    </r>
    <r>
      <rPr>
        <rFont val="Arial"/>
        <i/>
        <color theme="1"/>
        <sz val="12.0"/>
      </rPr>
      <t>b = b’</t>
    </r>
    <r>
      <rPr>
        <rFont val="Arial"/>
        <i/>
        <color theme="1"/>
        <sz val="12.0"/>
        <vertAlign val="subscript"/>
      </rPr>
      <t>f</t>
    </r>
    <r>
      <rPr>
        <rFont val="Arial"/>
        <color theme="1"/>
        <sz val="12.0"/>
        <vertAlign val="subscript"/>
      </rPr>
      <t xml:space="preserve"> </t>
    </r>
    <r>
      <rPr>
        <rFont val="Arial"/>
        <color theme="1"/>
        <sz val="12.0"/>
      </rPr>
      <t xml:space="preserve">= </t>
    </r>
  </si>
  <si>
    <r>
      <rPr>
        <rFont val="Arial"/>
        <color theme="1"/>
        <sz val="12.0"/>
      </rPr>
      <t>mm,     h</t>
    </r>
    <r>
      <rPr>
        <rFont val="Arial"/>
        <color theme="1"/>
        <sz val="12.0"/>
        <vertAlign val="subscript"/>
      </rPr>
      <t>o</t>
    </r>
    <r>
      <rPr>
        <rFont val="Arial"/>
        <color theme="1"/>
        <sz val="12.0"/>
      </rPr>
      <t xml:space="preserve"> =</t>
    </r>
  </si>
  <si>
    <r>
      <rPr>
        <rFont val="Arial"/>
        <b/>
        <color theme="1"/>
        <sz val="12.0"/>
      </rPr>
      <t>M</t>
    </r>
    <r>
      <rPr>
        <rFont val="Arial"/>
        <b/>
        <color theme="1"/>
        <sz val="12.0"/>
        <vertAlign val="superscript"/>
      </rPr>
      <t>+</t>
    </r>
    <r>
      <rPr>
        <rFont val="Arial"/>
        <b/>
        <color theme="1"/>
        <sz val="12.0"/>
        <vertAlign val="subscript"/>
      </rPr>
      <t xml:space="preserve"> </t>
    </r>
    <r>
      <rPr>
        <rFont val="Arial"/>
        <b/>
        <color theme="1"/>
        <sz val="12.0"/>
      </rPr>
      <t>=</t>
    </r>
  </si>
  <si>
    <r>
      <rPr>
        <rFont val="Arial"/>
        <color rgb="FF000000"/>
        <sz val="12.0"/>
      </rPr>
      <t>mm</t>
    </r>
    <r>
      <rPr>
        <rFont val="Arial"/>
        <color rgb="FF000000"/>
        <sz val="12.0"/>
        <vertAlign val="superscript"/>
      </rPr>
      <t>2</t>
    </r>
  </si>
  <si>
    <t>Tại nhịp giữa, với M=</t>
  </si>
  <si>
    <r>
      <rPr>
        <rFont val="Symbol"/>
        <color theme="1"/>
        <sz val="16.0"/>
      </rPr>
      <t>a</t>
    </r>
    <r>
      <rPr>
        <rFont val="Times New Roman"/>
        <color theme="1"/>
        <sz val="12.0"/>
      </rPr>
      <t>m=</t>
    </r>
  </si>
  <si>
    <t>Gối B</t>
  </si>
  <si>
    <t>Gối C</t>
  </si>
  <si>
    <t>nhịp giữa</t>
  </si>
  <si>
    <r>
      <rPr>
        <rFont val="Arial"/>
        <color theme="0"/>
        <sz val="12.0"/>
      </rPr>
      <t>A</t>
    </r>
    <r>
      <rPr>
        <rFont val="Arial"/>
        <color theme="0"/>
        <sz val="12.0"/>
        <vertAlign val="subscript"/>
      </rPr>
      <t>s</t>
    </r>
    <r>
      <rPr>
        <rFont val="Arial"/>
        <color theme="0"/>
        <sz val="12.0"/>
      </rPr>
      <t xml:space="preserve"> tính </t>
    </r>
  </si>
  <si>
    <r>
      <rPr>
        <rFont val="Arial"/>
        <color theme="0"/>
        <sz val="12.0"/>
      </rPr>
      <t>toán mm</t>
    </r>
    <r>
      <rPr>
        <rFont val="Arial"/>
        <color theme="0"/>
        <sz val="12.0"/>
        <vertAlign val="superscript"/>
      </rPr>
      <t>2</t>
    </r>
  </si>
  <si>
    <t>2f25 + 2f22</t>
  </si>
  <si>
    <t>4f25 + 2f28</t>
  </si>
  <si>
    <t>2f16 + 1f16</t>
  </si>
  <si>
    <t>2f16 + 1f18</t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</si>
  <si>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</si>
  <si>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t>kiểm tra lại ho</t>
  </si>
  <si>
    <t>* với cốt thép chịu momen dương nhịp biên, đặt 1 lớp, chọn chiều dày lớp bảo vệ 30mm &gt; đường kính cốt thép chọn max</t>
  </si>
  <si>
    <t>0.5x</t>
  </si>
  <si>
    <t>nên ho</t>
  </si>
  <si>
    <t>&gt;</t>
  </si>
  <si>
    <t>ho tính toán thiên về an toàn</t>
  </si>
  <si>
    <t xml:space="preserve">* với cốt thép chịu momen âm ở Gối </t>
  </si>
  <si>
    <t>*chỗ đặt 1 lớp thép</t>
  </si>
  <si>
    <t>x0.5</t>
  </si>
  <si>
    <t xml:space="preserve">trị số này </t>
  </si>
  <si>
    <t>*chỗ đặt 2 lớp thép</t>
  </si>
  <si>
    <t>phi max=d</t>
  </si>
  <si>
    <t>2 phi lớp 1 bên ngoài</t>
  </si>
  <si>
    <t>2 phi lớp 2</t>
  </si>
  <si>
    <t>2 phi lớp 1 bên trong</t>
  </si>
  <si>
    <t>As lớp 1</t>
  </si>
  <si>
    <t>As lớp 2</t>
  </si>
  <si>
    <t>a1</t>
  </si>
  <si>
    <t>a2</t>
  </si>
  <si>
    <t>5, Tính toán cốt thép ngang</t>
  </si>
  <si>
    <t>bên trái gối B</t>
  </si>
  <si>
    <r>
      <rPr>
        <rFont val="Arial"/>
        <color theme="0"/>
        <sz val="12.0"/>
      </rPr>
      <t>Theo vật liệu đã chọn:           R</t>
    </r>
    <r>
      <rPr>
        <rFont val="Arial"/>
        <color theme="0"/>
        <sz val="12.0"/>
        <vertAlign val="subscript"/>
      </rPr>
      <t>b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</si>
  <si>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Mpa;     R</t>
    </r>
    <r>
      <rPr>
        <rFont val="Arial"/>
        <color theme="0"/>
        <sz val="12.0"/>
        <vertAlign val="subscript"/>
      </rPr>
      <t>bt</t>
    </r>
    <r>
      <rPr>
        <rFont val="Arial"/>
        <color theme="0"/>
        <sz val="12.0"/>
      </rPr>
      <t xml:space="preserve"> = </t>
    </r>
  </si>
  <si>
    <r>
      <rPr>
        <rFont val="Arial"/>
        <color theme="0"/>
        <sz val="12.0"/>
      </rPr>
      <t>Mpa;   R</t>
    </r>
    <r>
      <rPr>
        <rFont val="Arial"/>
        <color theme="0"/>
        <sz val="12.0"/>
        <vertAlign val="subscript"/>
      </rPr>
      <t>sw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</si>
  <si>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 xml:space="preserve">Kích thước dầm: </t>
    </r>
    <r>
      <rPr>
        <rFont val="Arial"/>
        <i/>
        <color theme="0"/>
        <sz val="12.0"/>
      </rPr>
      <t>b=</t>
    </r>
  </si>
  <si>
    <r>
      <rPr>
        <rFont val="Arial"/>
        <color theme="0"/>
        <sz val="12.0"/>
      </rPr>
      <t xml:space="preserve">mm;         </t>
    </r>
    <r>
      <rPr>
        <rFont val="Arial"/>
        <i/>
        <color theme="0"/>
        <sz val="12.0"/>
      </rPr>
      <t>h =</t>
    </r>
  </si>
  <si>
    <r>
      <rPr>
        <rFont val="Arial"/>
        <color theme="0"/>
        <sz val="12.0"/>
      </rPr>
      <t xml:space="preserve">mm;        </t>
    </r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</t>
    </r>
  </si>
  <si>
    <r>
      <rPr>
        <rFont val="Arial"/>
        <color theme="0"/>
        <sz val="12.0"/>
      </rPr>
      <t xml:space="preserve">Kiểm tra điều kiện </t>
    </r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min</t>
    </r>
    <r>
      <rPr>
        <rFont val="Arial"/>
        <i/>
        <color theme="0"/>
        <sz val="12.0"/>
      </rPr>
      <t xml:space="preserve"> &lt; Q &lt; 0,3.R</t>
    </r>
    <r>
      <rPr>
        <rFont val="Arial"/>
        <i/>
        <color theme="0"/>
        <sz val="12.0"/>
        <vertAlign val="subscript"/>
      </rPr>
      <t>b</t>
    </r>
    <r>
      <rPr>
        <rFont val="Arial"/>
        <i/>
        <color theme="0"/>
        <sz val="12.0"/>
      </rPr>
      <t>.b.h</t>
    </r>
    <r>
      <rPr>
        <rFont val="Arial"/>
        <i/>
        <color theme="0"/>
        <sz val="12.0"/>
        <vertAlign val="subscript"/>
      </rPr>
      <t>o</t>
    </r>
  </si>
  <si>
    <r>
      <rPr>
        <rFont val="Arial"/>
        <i/>
        <color theme="0"/>
        <sz val="12.0"/>
      </rPr>
      <t>0,3.R</t>
    </r>
    <r>
      <rPr>
        <rFont val="Arial"/>
        <i/>
        <color theme="0"/>
        <sz val="12.0"/>
        <vertAlign val="subscript"/>
      </rPr>
      <t>b</t>
    </r>
    <r>
      <rPr>
        <rFont val="Arial"/>
        <i/>
        <color theme="0"/>
        <sz val="12.0"/>
      </rPr>
      <t>.b.h</t>
    </r>
    <r>
      <rPr>
        <rFont val="Arial"/>
        <i/>
        <color theme="0"/>
        <sz val="12.0"/>
        <vertAlign val="subscript"/>
      </rPr>
      <t xml:space="preserve">o </t>
    </r>
    <r>
      <rPr>
        <rFont val="Arial"/>
        <i/>
        <color theme="0"/>
        <sz val="12.0"/>
      </rPr>
      <t>= 0,3.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</si>
  <si>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min</t>
    </r>
    <r>
      <rPr>
        <rFont val="Arial"/>
        <i/>
        <color theme="0"/>
        <sz val="12.0"/>
      </rPr>
      <t xml:space="preserve"> = 0,5 . R</t>
    </r>
    <r>
      <rPr>
        <rFont val="Arial"/>
        <i/>
        <color theme="0"/>
        <sz val="12.0"/>
        <vertAlign val="subscript"/>
      </rPr>
      <t>bt</t>
    </r>
    <r>
      <rPr>
        <rFont val="Arial"/>
        <i/>
        <color theme="0"/>
        <sz val="12.0"/>
      </rPr>
      <t>.  b . 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0 ,5 .</t>
    </r>
  </si>
  <si>
    <r>
      <rPr>
        <rFont val="Arial"/>
        <color theme="0"/>
        <sz val="12.0"/>
      </rPr>
      <t xml:space="preserve">Điều kiện </t>
    </r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min</t>
    </r>
    <r>
      <rPr>
        <rFont val="Arial"/>
        <i/>
        <color theme="0"/>
        <sz val="12.0"/>
      </rPr>
      <t xml:space="preserve"> &lt; Q &lt; 0,3.R</t>
    </r>
    <r>
      <rPr>
        <rFont val="Arial"/>
        <i/>
        <color theme="0"/>
        <sz val="12.0"/>
        <vertAlign val="subscript"/>
      </rPr>
      <t>b</t>
    </r>
    <r>
      <rPr>
        <rFont val="Arial"/>
        <i/>
        <color theme="0"/>
        <sz val="12.0"/>
      </rPr>
      <t>.b.h</t>
    </r>
    <r>
      <rPr>
        <rFont val="Arial"/>
        <i/>
        <color theme="0"/>
        <sz val="12.0"/>
        <vertAlign val="subscript"/>
      </rPr>
      <t>o</t>
    </r>
  </si>
  <si>
    <r>
      <rPr>
        <rFont val="Arial"/>
        <color theme="0"/>
        <sz val="12.0"/>
      </rPr>
      <t>kN = Q</t>
    </r>
    <r>
      <rPr>
        <rFont val="Arial"/>
        <color theme="0"/>
        <sz val="12.0"/>
        <vertAlign val="subscript"/>
      </rPr>
      <t>đb</t>
    </r>
    <r>
      <rPr>
        <rFont val="Arial"/>
        <color theme="0"/>
        <sz val="12.0"/>
      </rPr>
      <t xml:space="preserve"> =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</si>
  <si>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swmin</t>
    </r>
    <r>
      <rPr>
        <rFont val="Arial"/>
        <i/>
        <color theme="0"/>
        <sz val="12.0"/>
      </rPr>
      <t xml:space="preserve"> = 0,25.R</t>
    </r>
    <r>
      <rPr>
        <rFont val="Arial"/>
        <i/>
        <color theme="0"/>
        <sz val="12.0"/>
        <vertAlign val="subscript"/>
      </rPr>
      <t>bt</t>
    </r>
    <r>
      <rPr>
        <rFont val="Arial"/>
        <i/>
        <color theme="0"/>
        <sz val="12.0"/>
      </rPr>
      <t>.b =0,25.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</si>
  <si>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swmin</t>
    </r>
    <r>
      <rPr>
        <rFont val="Arial"/>
        <i/>
        <color theme="0"/>
        <sz val="12.0"/>
      </rPr>
      <t xml:space="preserve"> =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</si>
  <si>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</t>
    </r>
    <r>
      <rPr>
        <rFont val="Arial"/>
        <i/>
        <color theme="0"/>
        <sz val="12.0"/>
      </rPr>
      <t xml:space="preserve"> =</t>
    </r>
  </si>
  <si>
    <r>
      <rPr>
        <rFont val="Arial"/>
        <b/>
        <color theme="0"/>
        <sz val="12.0"/>
      </rPr>
      <t>Kiểm tra C</t>
    </r>
    <r>
      <rPr>
        <rFont val="Arial"/>
        <b/>
        <color theme="0"/>
        <sz val="12.0"/>
        <vertAlign val="subscript"/>
      </rPr>
      <t>o</t>
    </r>
    <r>
      <rPr>
        <rFont val="Arial"/>
        <b/>
        <color theme="0"/>
        <sz val="12.0"/>
      </rPr>
      <t xml:space="preserve"> ,       với         q</t>
    </r>
    <r>
      <rPr>
        <rFont val="Arial"/>
        <b/>
        <color theme="0"/>
        <sz val="12.0"/>
        <vertAlign val="subscript"/>
      </rPr>
      <t>sw</t>
    </r>
    <r>
      <rPr>
        <rFont val="Arial"/>
        <b/>
        <color theme="0"/>
        <sz val="12.0"/>
      </rPr>
      <t xml:space="preserve"> = </t>
    </r>
  </si>
  <si>
    <r>
      <rPr>
        <rFont val="Arial"/>
        <color theme="0"/>
        <sz val="12.0"/>
      </rPr>
      <t>C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</si>
  <si>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2h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</si>
  <si>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C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</si>
  <si>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b/>
        <color theme="0"/>
        <sz val="12.0"/>
      </rPr>
      <t>Tính q</t>
    </r>
    <r>
      <rPr>
        <rFont val="Arial"/>
        <b/>
        <color theme="0"/>
        <sz val="12.0"/>
        <vertAlign val="subscript"/>
      </rPr>
      <t>sw</t>
    </r>
    <r>
      <rPr>
        <rFont val="Arial"/>
        <b/>
        <color theme="0"/>
        <sz val="12.0"/>
      </rPr>
      <t xml:space="preserve"> với C</t>
    </r>
    <r>
      <rPr>
        <rFont val="Arial"/>
        <b/>
        <color theme="0"/>
        <sz val="12.0"/>
        <vertAlign val="subscript"/>
      </rPr>
      <t>o</t>
    </r>
    <r>
      <rPr>
        <rFont val="Arial"/>
        <b/>
        <color theme="0"/>
        <sz val="12.0"/>
      </rPr>
      <t xml:space="preserve"> =</t>
    </r>
  </si>
  <si>
    <r>
      <rPr>
        <rFont val="Arial"/>
        <color theme="0"/>
        <sz val="12.0"/>
      </rPr>
      <t>kN = Q</t>
    </r>
    <r>
      <rPr>
        <rFont val="Arial"/>
        <color theme="0"/>
        <sz val="12.0"/>
        <vertAlign val="subscript"/>
      </rPr>
      <t>đb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</si>
  <si>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 xml:space="preserve">Chọn </t>
    </r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</t>
    </r>
    <r>
      <rPr>
        <rFont val="Arial"/>
        <color theme="0"/>
        <sz val="12.0"/>
      </rPr>
      <t xml:space="preserve"> = </t>
    </r>
  </si>
  <si>
    <r>
      <rPr>
        <rFont val="Arial"/>
        <b/>
        <color theme="0"/>
        <sz val="12.0"/>
      </rPr>
      <t xml:space="preserve">Chọn cốt đai </t>
    </r>
    <r>
      <rPr>
        <rFont val="Symbol"/>
        <b/>
        <color theme="0"/>
        <sz val="12.0"/>
      </rPr>
      <t xml:space="preserve">f  </t>
    </r>
  </si>
  <si>
    <t>2 nhánh</t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</si>
  <si>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</si>
  <si>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r>
      <rPr>
        <rFont val="Arial"/>
        <i/>
        <color theme="0"/>
        <sz val="12.0"/>
      </rPr>
      <t>S</t>
    </r>
    <r>
      <rPr>
        <rFont val="Arial"/>
        <i/>
        <color theme="0"/>
        <sz val="12.0"/>
        <vertAlign val="subscript"/>
      </rPr>
      <t>ct</t>
    </r>
    <r>
      <rPr>
        <rFont val="Arial"/>
        <i/>
        <color theme="0"/>
        <sz val="12.0"/>
      </rPr>
      <t xml:space="preserve"> = min ( 0,5.h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;300)mm =min(0,5.</t>
    </r>
  </si>
  <si>
    <r>
      <rPr>
        <rFont val="Arial"/>
        <color theme="0"/>
        <sz val="12.0"/>
      </rPr>
      <t>Cốt đai được bố trí với khoảng cách là</t>
    </r>
    <r>
      <rPr>
        <rFont val="Arial"/>
        <i/>
        <color theme="0"/>
        <sz val="12.0"/>
      </rPr>
      <t xml:space="preserve"> s= min(S</t>
    </r>
    <r>
      <rPr>
        <rFont val="Arial"/>
        <i/>
        <color theme="0"/>
        <sz val="12.0"/>
        <vertAlign val="subscript"/>
      </rPr>
      <t>tt</t>
    </r>
    <r>
      <rPr>
        <rFont val="Arial"/>
        <i/>
        <color theme="0"/>
        <sz val="12.0"/>
      </rPr>
      <t>;S</t>
    </r>
    <r>
      <rPr>
        <rFont val="Arial"/>
        <i/>
        <color theme="0"/>
        <sz val="12.0"/>
        <vertAlign val="subscript"/>
      </rPr>
      <t>ct</t>
    </r>
    <r>
      <rPr>
        <rFont val="Arial"/>
        <i/>
        <color theme="0"/>
        <sz val="12.0"/>
      </rPr>
      <t>;S</t>
    </r>
    <r>
      <rPr>
        <rFont val="Arial"/>
        <i/>
        <color theme="0"/>
        <sz val="12.0"/>
        <vertAlign val="subscript"/>
      </rPr>
      <t>max</t>
    </r>
    <r>
      <rPr>
        <rFont val="Arial"/>
        <i/>
        <color theme="0"/>
        <sz val="12.0"/>
      </rPr>
      <t>) =</t>
    </r>
  </si>
  <si>
    <r>
      <rPr>
        <rFont val="Arial"/>
        <color theme="0"/>
        <sz val="12.0"/>
      </rPr>
      <t xml:space="preserve">Các  dầm  đều  được  bố  trí  cốt đai  </t>
    </r>
    <r>
      <rPr>
        <rFont val="Symbol"/>
        <color theme="0"/>
        <sz val="12.0"/>
      </rPr>
      <t xml:space="preserve">f </t>
    </r>
    <r>
      <rPr>
        <rFont val="Arial"/>
        <color theme="0"/>
        <sz val="12.0"/>
      </rPr>
      <t xml:space="preserve"> , </t>
    </r>
  </si>
  <si>
    <t>bên phải gối A</t>
  </si>
  <si>
    <r>
      <rPr>
        <rFont val="Arial"/>
        <color theme="0"/>
        <sz val="12.0"/>
      </rPr>
      <t>kN = Q</t>
    </r>
    <r>
      <rPr>
        <rFont val="Arial"/>
        <color theme="0"/>
        <sz val="12.0"/>
        <vertAlign val="subscript"/>
      </rPr>
      <t>đb</t>
    </r>
    <r>
      <rPr>
        <rFont val="Arial"/>
        <color theme="0"/>
        <sz val="12.0"/>
      </rPr>
      <t xml:space="preserve"> =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</si>
  <si>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swmin</t>
    </r>
    <r>
      <rPr>
        <rFont val="Arial"/>
        <i/>
        <color theme="0"/>
        <sz val="12.0"/>
      </rPr>
      <t xml:space="preserve"> = 0,25.R</t>
    </r>
    <r>
      <rPr>
        <rFont val="Arial"/>
        <i/>
        <color theme="0"/>
        <sz val="12.0"/>
        <vertAlign val="subscript"/>
      </rPr>
      <t>bt</t>
    </r>
    <r>
      <rPr>
        <rFont val="Arial"/>
        <i/>
        <color theme="0"/>
        <sz val="12.0"/>
      </rPr>
      <t xml:space="preserve">.b 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</si>
  <si>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swmin</t>
    </r>
    <r>
      <rPr>
        <rFont val="Arial"/>
        <i/>
        <color theme="0"/>
        <sz val="12.0"/>
      </rPr>
      <t xml:space="preserve"> =</t>
    </r>
  </si>
  <si>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</t>
    </r>
    <r>
      <rPr>
        <rFont val="Arial"/>
        <i/>
        <color theme="0"/>
        <sz val="12.0"/>
      </rPr>
      <t xml:space="preserve"> =</t>
    </r>
  </si>
  <si>
    <r>
      <rPr>
        <rFont val="Arial"/>
        <b/>
        <color theme="0"/>
        <sz val="12.0"/>
      </rPr>
      <t>Kiểm tra C</t>
    </r>
    <r>
      <rPr>
        <rFont val="Arial"/>
        <b/>
        <color theme="0"/>
        <sz val="12.0"/>
        <vertAlign val="subscript"/>
      </rPr>
      <t>o</t>
    </r>
    <r>
      <rPr>
        <rFont val="Arial"/>
        <b/>
        <color theme="0"/>
        <sz val="12.0"/>
      </rPr>
      <t xml:space="preserve"> ,       với         q</t>
    </r>
    <r>
      <rPr>
        <rFont val="Arial"/>
        <b/>
        <color theme="0"/>
        <sz val="12.0"/>
        <vertAlign val="subscript"/>
      </rPr>
      <t>sw</t>
    </r>
    <r>
      <rPr>
        <rFont val="Arial"/>
        <b/>
        <color theme="0"/>
        <sz val="12.0"/>
      </rPr>
      <t xml:space="preserve"> = </t>
    </r>
  </si>
  <si>
    <r>
      <rPr>
        <rFont val="Arial"/>
        <color theme="0"/>
        <sz val="12.0"/>
      </rPr>
      <t>C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</si>
  <si>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2h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</si>
  <si>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C</t>
    </r>
    <r>
      <rPr>
        <rFont val="Arial"/>
        <color theme="0"/>
        <sz val="12.0"/>
        <vertAlign val="subscript"/>
      </rPr>
      <t>o</t>
    </r>
    <r>
      <rPr>
        <rFont val="Arial"/>
        <color theme="0"/>
        <sz val="12.0"/>
      </rPr>
      <t xml:space="preserve"> =</t>
    </r>
  </si>
  <si>
    <r>
      <rPr>
        <rFont val="Arial"/>
        <b/>
        <color theme="0"/>
        <sz val="12.0"/>
      </rPr>
      <t>Tính q</t>
    </r>
    <r>
      <rPr>
        <rFont val="Arial"/>
        <b/>
        <color theme="0"/>
        <sz val="12.0"/>
        <vertAlign val="subscript"/>
      </rPr>
      <t>sw</t>
    </r>
    <r>
      <rPr>
        <rFont val="Arial"/>
        <b/>
        <color theme="0"/>
        <sz val="12.0"/>
      </rPr>
      <t xml:space="preserve"> với C</t>
    </r>
    <r>
      <rPr>
        <rFont val="Arial"/>
        <b/>
        <color theme="0"/>
        <sz val="12.0"/>
        <vertAlign val="subscript"/>
      </rPr>
      <t>o</t>
    </r>
    <r>
      <rPr>
        <rFont val="Arial"/>
        <b/>
        <color theme="0"/>
        <sz val="12.0"/>
      </rPr>
      <t xml:space="preserve"> =</t>
    </r>
  </si>
  <si>
    <r>
      <rPr>
        <rFont val="Arial"/>
        <color theme="0"/>
        <sz val="12.0"/>
      </rPr>
      <t>kN = Q</t>
    </r>
    <r>
      <rPr>
        <rFont val="Arial"/>
        <color theme="0"/>
        <sz val="12.0"/>
        <vertAlign val="subscript"/>
      </rPr>
      <t>đb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</si>
  <si>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 xml:space="preserve">Chọn </t>
    </r>
    <r>
      <rPr>
        <rFont val="Arial"/>
        <i/>
        <color theme="0"/>
        <sz val="12.0"/>
      </rPr>
      <t>q</t>
    </r>
    <r>
      <rPr>
        <rFont val="Arial"/>
        <i/>
        <color theme="0"/>
        <sz val="12.0"/>
        <vertAlign val="subscript"/>
      </rPr>
      <t>sw</t>
    </r>
    <r>
      <rPr>
        <rFont val="Arial"/>
        <color theme="0"/>
        <sz val="12.0"/>
      </rPr>
      <t xml:space="preserve"> = </t>
    </r>
  </si>
  <si>
    <r>
      <rPr>
        <rFont val="Arial"/>
        <b/>
        <color theme="0"/>
        <sz val="12.0"/>
      </rPr>
      <t xml:space="preserve">Chọn cốt đai </t>
    </r>
    <r>
      <rPr>
        <rFont val="Symbol"/>
        <b/>
        <color theme="0"/>
        <sz val="12.0"/>
      </rPr>
      <t xml:space="preserve">f  </t>
    </r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</si>
  <si>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</si>
  <si>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r>
      <rPr>
        <rFont val="Arial"/>
        <i/>
        <color theme="0"/>
        <sz val="12.0"/>
      </rPr>
      <t>S</t>
    </r>
    <r>
      <rPr>
        <rFont val="Arial"/>
        <i/>
        <color theme="0"/>
        <sz val="12.0"/>
        <vertAlign val="subscript"/>
      </rPr>
      <t>ct</t>
    </r>
    <r>
      <rPr>
        <rFont val="Arial"/>
        <i/>
        <color theme="0"/>
        <sz val="12.0"/>
      </rPr>
      <t xml:space="preserve"> = min ( 0,5.h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;300)mm =min(0,5.</t>
    </r>
  </si>
  <si>
    <r>
      <rPr>
        <rFont val="Arial"/>
        <color theme="0"/>
        <sz val="12.0"/>
      </rPr>
      <t>Cốt đai được bố trí với khoảng cách là</t>
    </r>
    <r>
      <rPr>
        <rFont val="Arial"/>
        <i/>
        <color theme="0"/>
        <sz val="12.0"/>
      </rPr>
      <t xml:space="preserve"> s= min(S</t>
    </r>
    <r>
      <rPr>
        <rFont val="Arial"/>
        <i/>
        <color theme="0"/>
        <sz val="12.0"/>
        <vertAlign val="subscript"/>
      </rPr>
      <t>tt</t>
    </r>
    <r>
      <rPr>
        <rFont val="Arial"/>
        <i/>
        <color theme="0"/>
        <sz val="12.0"/>
      </rPr>
      <t>;S</t>
    </r>
    <r>
      <rPr>
        <rFont val="Arial"/>
        <i/>
        <color theme="0"/>
        <sz val="12.0"/>
        <vertAlign val="subscript"/>
      </rPr>
      <t>ct</t>
    </r>
    <r>
      <rPr>
        <rFont val="Arial"/>
        <i/>
        <color theme="0"/>
        <sz val="12.0"/>
      </rPr>
      <t>;S</t>
    </r>
    <r>
      <rPr>
        <rFont val="Arial"/>
        <i/>
        <color theme="0"/>
        <sz val="12.0"/>
        <vertAlign val="subscript"/>
      </rPr>
      <t>max</t>
    </r>
    <r>
      <rPr>
        <rFont val="Arial"/>
        <i/>
        <color theme="0"/>
        <sz val="12.0"/>
      </rPr>
      <t>) =</t>
    </r>
  </si>
  <si>
    <r>
      <rPr>
        <rFont val="Arial"/>
        <color theme="0"/>
        <sz val="12.0"/>
      </rPr>
      <t xml:space="preserve">Các  dầm  đều  được  bố  trí  cốt đai  </t>
    </r>
    <r>
      <rPr>
        <rFont val="Symbol"/>
        <color theme="0"/>
        <sz val="12.0"/>
      </rPr>
      <t xml:space="preserve">f </t>
    </r>
    <r>
      <rPr>
        <rFont val="Arial"/>
        <color theme="0"/>
        <sz val="12.0"/>
      </rPr>
      <t xml:space="preserve">  , </t>
    </r>
  </si>
  <si>
    <t>6. tính toán cốt treo</t>
  </si>
  <si>
    <t xml:space="preserve">chỗ dầm phụ kê lên dầm chính cần có cốt treo để gia cố thêm cốt đai cho dầm chính. Lực tập trung do dầm phụ truyền </t>
  </si>
  <si>
    <t>vào dầm chính :</t>
  </si>
  <si>
    <t>P1=P+G</t>
  </si>
  <si>
    <t>KN</t>
  </si>
  <si>
    <r>
      <rPr>
        <rFont val="Times New Roman"/>
        <color theme="0"/>
        <sz val="14.0"/>
      </rPr>
      <t>dùng</t>
    </r>
    <r>
      <rPr>
        <rFont val="Symbol"/>
        <color theme="0"/>
        <sz val="14.0"/>
      </rPr>
      <t xml:space="preserve"> f10, </t>
    </r>
  </si>
  <si>
    <r>
      <rPr>
        <rFont val="Times New Roman"/>
        <color theme="0"/>
        <sz val="14.0"/>
      </rPr>
      <t>n=2, a</t>
    </r>
    <r>
      <rPr>
        <rFont val="Times New Roman"/>
        <color theme="0"/>
        <sz val="8.0"/>
      </rPr>
      <t>sw</t>
    </r>
    <r>
      <rPr>
        <rFont val="Times New Roman"/>
        <color theme="0"/>
        <sz val="14.0"/>
      </rPr>
      <t>=</t>
    </r>
  </si>
  <si>
    <t>mm2, số lượng đai chọn cần thiết là:</t>
  </si>
  <si>
    <t>Ta có số đai: =</t>
  </si>
  <si>
    <t>đai</t>
  </si>
  <si>
    <t xml:space="preserve">7. cắt và vẽ hình bao vật liệu </t>
  </si>
  <si>
    <t>* Tại nhịp biên.</t>
  </si>
  <si>
    <t>momen dương, tiết diện chữ T có cánh nằm trong vùng chịu nén</t>
  </si>
  <si>
    <r>
      <rPr>
        <rFont val="Times New Roman"/>
        <color theme="0"/>
        <sz val="14.0"/>
      </rPr>
      <t>bề rộng cánh b</t>
    </r>
    <r>
      <rPr>
        <rFont val="Times New Roman"/>
        <color theme="0"/>
        <sz val="8.0"/>
      </rPr>
      <t>f '</t>
    </r>
    <r>
      <rPr>
        <rFont val="Times New Roman"/>
        <color theme="0"/>
        <sz val="14.0"/>
      </rPr>
      <t>=</t>
    </r>
  </si>
  <si>
    <t>bố trí</t>
  </si>
  <si>
    <t>diện tích</t>
  </si>
  <si>
    <t xml:space="preserve">ho thực tế đã tính </t>
  </si>
  <si>
    <r>
      <rPr>
        <rFont val="Arial"/>
        <i/>
        <color theme="0"/>
        <sz val="12.0"/>
      </rPr>
      <t xml:space="preserve">x = </t>
    </r>
    <r>
      <rPr>
        <rFont val="Symbol"/>
        <i/>
        <color theme="0"/>
        <sz val="12.0"/>
      </rPr>
      <t>x</t>
    </r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</t>
    </r>
    <r>
      <rPr>
        <rFont val="Arial"/>
        <i val="0"/>
        <color theme="0"/>
        <sz val="12.0"/>
      </rPr>
      <t xml:space="preserve"> </t>
    </r>
  </si>
  <si>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perscript"/>
      </rPr>
      <t>’</t>
    </r>
    <r>
      <rPr>
        <rFont val="Arial"/>
        <i/>
        <color theme="0"/>
        <sz val="12.0"/>
        <vertAlign val="subscript"/>
      </rPr>
      <t>f</t>
    </r>
    <r>
      <rPr>
        <rFont val="Arial"/>
        <i/>
        <color theme="0"/>
        <sz val="12.0"/>
      </rPr>
      <t xml:space="preserve"> =</t>
    </r>
  </si>
  <si>
    <r>
      <rPr>
        <rFont val="Noto Sans Symbols"/>
        <color theme="0"/>
        <sz val="12.0"/>
      </rPr>
      <t>z</t>
    </r>
    <r>
      <rPr>
        <rFont val="Arial"/>
        <color theme="0"/>
        <sz val="12.0"/>
      </rPr>
      <t xml:space="preserve"> = 1 – 0,5 </t>
    </r>
    <r>
      <rPr>
        <rFont val="Symbol"/>
        <color theme="0"/>
        <sz val="12.0"/>
      </rPr>
      <t>x</t>
    </r>
    <r>
      <rPr>
        <rFont val="Arial"/>
        <color theme="0"/>
        <sz val="12.0"/>
      </rPr>
      <t xml:space="preserve"> =  1 -  0,5.</t>
    </r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</si>
  <si>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bscript"/>
      </rPr>
      <t>td</t>
    </r>
    <r>
      <rPr>
        <rFont val="Arial"/>
        <i/>
        <color theme="0"/>
        <sz val="12.0"/>
      </rPr>
      <t xml:space="preserve"> = R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</t>
    </r>
    <r>
      <rPr>
        <rFont val="Symbol"/>
        <i/>
        <color theme="0"/>
        <sz val="12.0"/>
      </rPr>
      <t>z</t>
    </r>
    <r>
      <rPr>
        <rFont val="Arial"/>
        <i/>
        <color theme="0"/>
        <sz val="12.0"/>
      </rPr>
      <t>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</t>
    </r>
  </si>
  <si>
    <t>Nmm=</t>
  </si>
  <si>
    <t>*Tại gối 2, mômen âm, tiết diện chữ nhật</t>
  </si>
  <si>
    <r>
      <rPr>
        <rFont val="Arial"/>
        <color theme="0"/>
        <sz val="12.0"/>
      </rPr>
      <t xml:space="preserve"> </t>
    </r>
    <r>
      <rPr>
        <rFont val="Arial"/>
        <i/>
        <color theme="0"/>
        <sz val="12.0"/>
      </rPr>
      <t>b</t>
    </r>
    <r>
      <rPr>
        <rFont val="Arial"/>
        <color theme="0"/>
        <sz val="12.0"/>
      </rPr>
      <t xml:space="preserve"> </t>
    </r>
    <r>
      <rPr>
        <rFont val="Arial"/>
        <color theme="0"/>
        <sz val="8.0"/>
      </rPr>
      <t>x</t>
    </r>
    <r>
      <rPr>
        <rFont val="Arial"/>
        <color theme="0"/>
        <sz val="12.0"/>
      </rPr>
      <t xml:space="preserve"> </t>
    </r>
    <r>
      <rPr>
        <rFont val="Arial"/>
        <i/>
        <color theme="0"/>
        <sz val="12.0"/>
      </rPr>
      <t>h</t>
    </r>
    <r>
      <rPr>
        <rFont val="Arial"/>
        <color theme="0"/>
        <sz val="12.0"/>
      </rPr>
      <t xml:space="preserve"> =</t>
    </r>
  </si>
  <si>
    <r>
      <rPr>
        <rFont val="Arial"/>
        <color theme="0"/>
        <sz val="12.0"/>
      </rPr>
      <t>diện tích A</t>
    </r>
    <r>
      <rPr>
        <rFont val="Arial"/>
        <color theme="0"/>
        <sz val="12.0"/>
        <vertAlign val="subscript"/>
      </rPr>
      <t>s</t>
    </r>
    <r>
      <rPr>
        <rFont val="Arial"/>
        <i/>
        <color theme="0"/>
        <sz val="12.0"/>
      </rPr>
      <t xml:space="preserve"> =</t>
    </r>
  </si>
  <si>
    <r>
      <rPr>
        <rFont val="Arial"/>
        <color theme="0"/>
        <sz val="12.0"/>
      </rPr>
      <t>mm</t>
    </r>
    <r>
      <rPr>
        <rFont val="Arial"/>
        <color theme="0"/>
        <sz val="12.0"/>
        <vertAlign val="superscript"/>
      </rPr>
      <t>2</t>
    </r>
  </si>
  <si>
    <t>lớp</t>
  </si>
  <si>
    <r>
      <rPr>
        <rFont val="Arial"/>
        <i/>
        <color theme="0"/>
        <sz val="12.0"/>
      </rPr>
      <t>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</t>
    </r>
  </si>
  <si>
    <r>
      <rPr>
        <rFont val="Symbol"/>
        <i/>
        <color theme="0"/>
        <sz val="12.0"/>
      </rPr>
      <t>x</t>
    </r>
    <r>
      <rPr>
        <rFont val="Arial"/>
        <i/>
        <color theme="0"/>
        <sz val="8.0"/>
      </rPr>
      <t>R</t>
    </r>
    <r>
      <rPr>
        <rFont val="Arial"/>
        <i/>
        <color theme="0"/>
        <sz val="12.0"/>
      </rPr>
      <t xml:space="preserve"> = </t>
    </r>
    <r>
      <rPr>
        <rFont val="Arial"/>
        <i val="0"/>
        <color theme="0"/>
        <sz val="12.0"/>
      </rPr>
      <t>0,65</t>
    </r>
  </si>
  <si>
    <t>As1</t>
  </si>
  <si>
    <t>As2</t>
  </si>
  <si>
    <r>
      <rPr>
        <rFont val="Noto Sans Symbols"/>
        <color theme="0"/>
        <sz val="12.0"/>
      </rPr>
      <t>z</t>
    </r>
    <r>
      <rPr>
        <rFont val="Arial"/>
        <color theme="0"/>
        <sz val="12.0"/>
      </rPr>
      <t xml:space="preserve"> = 1 – 0,5 </t>
    </r>
    <r>
      <rPr>
        <rFont val="Symbol"/>
        <color theme="0"/>
        <sz val="12.0"/>
      </rPr>
      <t>x</t>
    </r>
    <r>
      <rPr>
        <rFont val="Arial"/>
        <color theme="0"/>
        <sz val="12.0"/>
      </rPr>
      <t xml:space="preserve"> =  1 -  0,5.</t>
    </r>
  </si>
  <si>
    <r>
      <rPr>
        <rFont val="Arial"/>
        <i/>
        <color theme="0"/>
        <sz val="12.0"/>
      </rPr>
      <t>M</t>
    </r>
    <r>
      <rPr>
        <rFont val="Arial"/>
        <i/>
        <color theme="0"/>
        <sz val="12.0"/>
        <vertAlign val="subscript"/>
      </rPr>
      <t>td</t>
    </r>
    <r>
      <rPr>
        <rFont val="Arial"/>
        <i/>
        <color theme="0"/>
        <sz val="12.0"/>
      </rPr>
      <t xml:space="preserve"> = R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.A</t>
    </r>
    <r>
      <rPr>
        <rFont val="Arial"/>
        <i/>
        <color theme="0"/>
        <sz val="12.0"/>
        <vertAlign val="subscript"/>
      </rPr>
      <t>s</t>
    </r>
    <r>
      <rPr>
        <rFont val="Arial"/>
        <i/>
        <color theme="0"/>
        <sz val="12.0"/>
      </rPr>
      <t>.</t>
    </r>
    <r>
      <rPr>
        <rFont val="Symbol"/>
        <i/>
        <color theme="0"/>
        <sz val="12.0"/>
      </rPr>
      <t>z</t>
    </r>
    <r>
      <rPr>
        <rFont val="Arial"/>
        <i/>
        <color theme="0"/>
        <sz val="12.0"/>
      </rPr>
      <t>.h</t>
    </r>
    <r>
      <rPr>
        <rFont val="Arial"/>
        <i/>
        <color theme="0"/>
        <sz val="12.0"/>
        <vertAlign val="subscript"/>
      </rPr>
      <t>o</t>
    </r>
    <r>
      <rPr>
        <rFont val="Arial"/>
        <i/>
        <color theme="0"/>
        <sz val="12.0"/>
      </rPr>
      <t xml:space="preserve"> = </t>
    </r>
  </si>
  <si>
    <t>Kết quả tính toán khả năng chịu lực được ghi trong bảng, mọi tiết diện đều được tính toán theo trường hợp tiết diện đặt cốt thép đơn</t>
  </si>
  <si>
    <r>
      <rPr>
        <rFont val="Arial"/>
        <color theme="0"/>
        <sz val="12.0"/>
      </rPr>
      <t xml:space="preserve">(với tiết diện chịu mômen dương thì thay </t>
    </r>
    <r>
      <rPr>
        <rFont val="Arial"/>
        <i/>
        <color theme="0"/>
        <sz val="12.0"/>
      </rPr>
      <t>b</t>
    </r>
    <r>
      <rPr>
        <rFont val="Arial"/>
        <color theme="0"/>
        <sz val="12.0"/>
      </rPr>
      <t xml:space="preserve"> bằng </t>
    </r>
    <r>
      <rPr>
        <rFont val="Arial"/>
        <i/>
        <color theme="0"/>
        <sz val="12.0"/>
      </rPr>
      <t>b</t>
    </r>
    <r>
      <rPr>
        <rFont val="Arial"/>
        <i/>
        <color theme="0"/>
        <sz val="12.0"/>
        <vertAlign val="superscript"/>
      </rPr>
      <t>'</t>
    </r>
    <r>
      <rPr>
        <rFont val="Arial"/>
        <i/>
        <color theme="0"/>
        <sz val="12.0"/>
        <vertAlign val="subscript"/>
      </rPr>
      <t>f</t>
    </r>
    <r>
      <rPr>
        <rFont val="Arial"/>
        <color theme="0"/>
        <sz val="12.0"/>
      </rPr>
      <t>)</t>
    </r>
  </si>
  <si>
    <t>TiÕt diÖn</t>
  </si>
  <si>
    <t>Cèt thÐp</t>
  </si>
  <si>
    <t>Fa (cm2)</t>
  </si>
  <si>
    <t>ho</t>
  </si>
  <si>
    <t>Mtd(kNm)</t>
  </si>
  <si>
    <t>NhÞp biªn</t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</si>
  <si>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</si>
  <si>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</si>
  <si>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t>Gèi B</t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</si>
  <si>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</si>
  <si>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</si>
  <si>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t>NhÞp gi÷a</t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</si>
  <si>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</si>
  <si>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t>Gèi C</t>
  </si>
  <si>
    <r>
      <rPr>
        <rFont val="Times New Roman"/>
        <color theme="0"/>
        <sz val="14.0"/>
      </rPr>
      <t>C¾t bít  2</t>
    </r>
    <r>
      <rPr>
        <rFont val="Symbol"/>
        <color theme="0"/>
        <sz val="14.0"/>
      </rPr>
      <t>f</t>
    </r>
  </si>
  <si>
    <t>b. Xác định mặt cắt lý thuyết của các thanh</t>
  </si>
  <si>
    <t xml:space="preserve">Cốt thép số 4( đầu bên trái, gần gối B): sau khi cắt cốt thép số 4, biểu đồ bao vật liệu cắt tại điểm H. </t>
  </si>
  <si>
    <t>Xác định đoạn kéo dài của cốt thép số 4 ở bên trái W4 trái</t>
  </si>
  <si>
    <t>Q là độ dốc của biểu đồ momen</t>
  </si>
  <si>
    <t>Q=(</t>
  </si>
  <si>
    <t>)/</t>
  </si>
  <si>
    <t>Do không đặt cốt xiên mà tại khu vực này đặt cốt đai phi 8, s=</t>
  </si>
  <si>
    <t xml:space="preserve">lấy tròn </t>
  </si>
  <si>
    <t>3 nhịp</t>
  </si>
  <si>
    <t>4 nhịp</t>
  </si>
  <si>
    <t>vị trí</t>
  </si>
  <si>
    <t>Q(KN)</t>
  </si>
  <si>
    <t>W(mm)</t>
  </si>
  <si>
    <t>nhịp biên trái</t>
  </si>
  <si>
    <t>nhịp biên phải</t>
  </si>
  <si>
    <t>gối biên trái</t>
  </si>
  <si>
    <t>gối biên phải</t>
  </si>
  <si>
    <t>nhịp giữa trái</t>
  </si>
  <si>
    <t>nhịp giữa phải</t>
  </si>
  <si>
    <t>gối C trái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</si>
</sst>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00"/>
    <numFmt numFmtId="165" formatCode="0.0000"/>
    <numFmt numFmtId="166" formatCode="0.00000"/>
    <numFmt numFmtId="167" formatCode="0.000000"/>
    <numFmt numFmtId="168" formatCode="0.000%"/>
    <numFmt numFmtId="169" formatCode="0.0"/>
  </numFmts>
  <fonts count="63">
    <font>
      <sz val="11.0"/>
      <color theme="1"/>
      <name val="Arial"/>
      <scheme val="minor"/>
    </font>
    <font>
      <b/>
      <sz val="14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b/>
      <u/>
      <sz val="14.0"/>
      <color theme="1"/>
      <name val="Arial"/>
    </font>
    <font>
      <b/>
      <sz val="18.0"/>
      <color theme="1"/>
      <name val="Arial"/>
    </font>
    <font>
      <sz val="12.0"/>
      <color theme="0"/>
      <name val="Arial"/>
    </font>
    <font>
      <b/>
      <sz val="20.0"/>
      <color rgb="FFC00000"/>
      <name val="Arial"/>
    </font>
    <font/>
    <font>
      <sz val="10.0"/>
      <color rgb="FFC00000"/>
      <name val="Arial"/>
    </font>
    <font>
      <b/>
      <u/>
      <sz val="14.0"/>
      <color theme="1"/>
      <name val="Arial"/>
    </font>
    <font>
      <sz val="11.0"/>
      <color theme="1"/>
      <name val="Arial"/>
    </font>
    <font>
      <sz val="12.0"/>
      <color rgb="FF0000FF"/>
      <name val="Arial"/>
    </font>
    <font>
      <sz val="12.0"/>
      <color rgb="FF00FF00"/>
      <name val="Arial"/>
    </font>
    <font>
      <sz val="13.0"/>
      <color rgb="FFC00000"/>
      <name val="Arial"/>
    </font>
    <font>
      <sz val="8.0"/>
      <color theme="1"/>
      <name val="Arial"/>
    </font>
    <font>
      <vertAlign val="subscript"/>
      <sz val="12.0"/>
      <color theme="1"/>
      <name val="Arial"/>
    </font>
    <font>
      <sz val="12.0"/>
      <color theme="1"/>
      <name val="Noto Sans Symbols"/>
    </font>
    <font>
      <vertAlign val="subscript"/>
      <sz val="12.0"/>
      <color theme="1"/>
      <name val="Arial"/>
    </font>
    <font>
      <sz val="11.0"/>
      <color rgb="FFFF0000"/>
      <name val="Arial"/>
    </font>
    <font>
      <vertAlign val="superscript"/>
      <sz val="12.0"/>
      <color theme="1"/>
      <name val="Arial"/>
    </font>
    <font>
      <sz val="12.0"/>
      <color theme="1"/>
      <name val="Calibri"/>
    </font>
    <font>
      <vertAlign val="superscript"/>
      <sz val="12.0"/>
      <color theme="1"/>
      <name val="Arial"/>
    </font>
    <font>
      <sz val="12.0"/>
      <color rgb="FFFF0000"/>
      <name val="Arial"/>
    </font>
    <font>
      <i/>
      <sz val="12.0"/>
      <color theme="1"/>
      <name val="Arial"/>
    </font>
    <font>
      <sz val="11.0"/>
      <color rgb="FF000000"/>
      <name val="Arial"/>
    </font>
    <font>
      <sz val="12.0"/>
      <color rgb="FF000000"/>
      <name val="Arial"/>
    </font>
    <font>
      <sz val="8.0"/>
      <color rgb="FF000000"/>
      <name val="Arial"/>
    </font>
    <font>
      <vertAlign val="superscript"/>
      <sz val="12.0"/>
      <color rgb="FF000000"/>
      <name val="Arial"/>
    </font>
    <font>
      <b/>
      <sz val="12.0"/>
      <color rgb="FF000000"/>
      <name val="Arial"/>
    </font>
    <font>
      <sz val="12.0"/>
      <color rgb="FF000000"/>
      <name val="Noto Sans Symbols"/>
    </font>
    <font>
      <sz val="12.0"/>
      <color rgb="FFFF0066"/>
      <name val="Arial"/>
    </font>
    <font>
      <sz val="14.0"/>
      <color rgb="FFFF0066"/>
      <name val="Arial"/>
    </font>
    <font>
      <b/>
      <sz val="12.0"/>
      <color rgb="FFFF0066"/>
      <name val="Arial"/>
    </font>
    <font>
      <sz val="14.0"/>
      <color rgb="FF0000FF"/>
      <name val="Arial"/>
    </font>
    <font>
      <vertAlign val="subscript"/>
      <sz val="12.0"/>
      <color theme="1"/>
      <name val="Arial"/>
    </font>
    <font>
      <sz val="11.0"/>
      <color rgb="FFC00000"/>
      <name val="Arial"/>
    </font>
    <font>
      <vertAlign val="subscript"/>
      <sz val="12.0"/>
      <color theme="1"/>
      <name val="Arial"/>
    </font>
    <font>
      <b/>
      <sz val="12.0"/>
      <color theme="0"/>
      <name val="Arial"/>
    </font>
    <font>
      <b/>
      <i/>
      <sz val="12.0"/>
      <color theme="0"/>
      <name val="Arial"/>
    </font>
    <font>
      <i/>
      <sz val="12.0"/>
      <color theme="0"/>
      <name val="Arial"/>
    </font>
    <font>
      <sz val="12.0"/>
      <color theme="0"/>
      <name val="Noto Sans Symbols"/>
    </font>
    <font>
      <sz val="11.0"/>
      <color theme="0"/>
      <name val="Arial"/>
    </font>
    <font>
      <sz val="14.0"/>
      <color theme="0"/>
      <name val="Arial"/>
    </font>
    <font>
      <b/>
      <sz val="8.0"/>
      <color theme="0"/>
      <name val="Arial"/>
    </font>
    <font>
      <sz val="16.0"/>
      <color theme="0"/>
      <name val="Arial"/>
    </font>
    <font>
      <sz val="8.0"/>
      <color theme="0"/>
      <name val="Arial"/>
    </font>
    <font>
      <b/>
      <sz val="16.0"/>
      <color theme="1"/>
      <name val="Arial"/>
    </font>
    <font>
      <sz val="18.0"/>
      <color rgb="FF00B050"/>
      <name val="Arial"/>
    </font>
    <font>
      <sz val="14.0"/>
      <color theme="0"/>
      <name val="Calibri"/>
    </font>
    <font>
      <sz val="18.0"/>
      <color theme="1"/>
      <name val="Arial"/>
    </font>
    <font>
      <sz val="14.0"/>
      <color theme="1"/>
      <name val="Times New Roman"/>
    </font>
    <font>
      <sz val="10.0"/>
      <color theme="1"/>
      <name val="Times New Roman"/>
    </font>
    <font>
      <sz val="14.0"/>
      <color theme="1"/>
      <name val="Noto Sans Symbols"/>
    </font>
    <font>
      <sz val="14.0"/>
      <color theme="1"/>
      <name val="Arial"/>
    </font>
    <font>
      <sz val="14.0"/>
      <color theme="0"/>
      <name val="Times New Roman"/>
    </font>
    <font>
      <sz val="14.0"/>
      <color rgb="FFFF0000"/>
      <name val="Times New Roman"/>
    </font>
    <font>
      <sz val="14.0"/>
      <color rgb="FF00B050"/>
      <name val="Times New Roman"/>
    </font>
    <font>
      <vertAlign val="subscript"/>
      <sz val="12.0"/>
      <color theme="0"/>
      <name val="Arial"/>
    </font>
    <font>
      <vertAlign val="subscript"/>
      <sz val="12.0"/>
      <color theme="0"/>
      <name val="Arial"/>
    </font>
    <font>
      <b/>
      <sz val="14.0"/>
      <color theme="0"/>
      <name val="Times New Roman"/>
    </font>
    <font>
      <sz val="14.0"/>
      <color theme="0"/>
      <name val="Noto Sans Symbols"/>
    </font>
    <font>
      <b/>
      <sz val="14.0"/>
      <color theme="0"/>
      <name val="Arial"/>
    </font>
  </fonts>
  <fills count="1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C2D69B"/>
        <bgColor rgb="FFC2D69B"/>
      </patternFill>
    </fill>
    <fill>
      <patternFill patternType="solid">
        <fgColor rgb="FFFF0000"/>
        <bgColor rgb="FFFF0000"/>
      </patternFill>
    </fill>
    <fill>
      <patternFill patternType="solid">
        <fgColor theme="1"/>
        <bgColor theme="1"/>
      </patternFill>
    </fill>
    <fill>
      <patternFill patternType="solid">
        <fgColor rgb="FFFDE9D9"/>
        <bgColor rgb="FFFDE9D9"/>
      </patternFill>
    </fill>
    <fill>
      <patternFill patternType="solid">
        <fgColor rgb="FFF2F2F2"/>
        <bgColor rgb="FFF2F2F2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63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50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Border="1" applyFill="1" applyFont="1"/>
    <xf borderId="1" fillId="2" fontId="3" numFmtId="0" xfId="0" applyBorder="1" applyFill="1" applyFont="1"/>
    <xf borderId="1" fillId="2" fontId="3" numFmtId="0" xfId="0" applyAlignment="1" applyBorder="1" applyFill="1" applyFont="1">
      <alignment horizontal="left" vertical="center"/>
    </xf>
    <xf borderId="1" fillId="2" fontId="4" numFmtId="0" xfId="0" applyBorder="1" applyFill="1" applyFont="1"/>
    <xf borderId="1" fillId="2" fontId="5" numFmtId="0" xfId="0" applyAlignment="1" applyBorder="1" applyFill="1" applyFont="1">
      <alignment horizontal="left" vertical="center"/>
    </xf>
    <xf borderId="1" fillId="2" fontId="6" numFmtId="0" xfId="0" applyAlignment="1" applyBorder="1" applyFill="1" applyFont="1">
      <alignment horizontal="left" vertical="center"/>
    </xf>
    <xf borderId="1" fillId="2" fontId="1" numFmtId="0" xfId="0" applyBorder="1" applyFill="1" applyFont="1"/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2" fillId="3" fontId="7" numFmtId="0" xfId="0" applyAlignment="1" applyBorder="1" applyFill="1" applyFont="1">
      <alignment horizontal="center" vertic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quotePrefix="1"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8" fillId="3" fontId="9" numFmtId="0" xfId="0" applyAlignment="1" applyBorder="1" applyFill="1" applyFont="1">
      <alignment horizontal="center" vertical="center"/>
    </xf>
    <xf borderId="9" fillId="0" fontId="8" numFmtId="0" xfId="0" applyBorder="1" applyFont="1"/>
    <xf borderId="10" fillId="0" fontId="8" numFmtId="0" xfId="0" applyBorder="1" applyFont="1"/>
    <xf borderId="11" fillId="2" fontId="6" numFmtId="0" xfId="0" applyAlignment="1" applyBorder="1" applyFill="1" applyFont="1">
      <alignment horizontal="left" vertical="center"/>
    </xf>
    <xf borderId="12" fillId="2" fontId="6" numFmtId="0" xfId="0" applyAlignment="1" applyBorder="1" applyFill="1" applyFont="1">
      <alignment horizontal="left" vertical="center"/>
    </xf>
    <xf borderId="13" fillId="2" fontId="6" numFmtId="0" xfId="0" applyAlignment="1" applyBorder="1" applyFill="1" applyFont="1">
      <alignment horizontal="left" vertical="center"/>
    </xf>
    <xf borderId="1" fillId="2" fontId="10" numFmtId="0" xfId="0" applyAlignment="1" applyBorder="1" applyFill="1" applyFont="1">
      <alignment horizontal="left" vertical="center"/>
    </xf>
    <xf borderId="0" fillId="0" fontId="3" numFmtId="0" xfId="0" applyAlignment="1" applyFont="1">
      <alignment horizontal="center"/>
    </xf>
    <xf borderId="1" fillId="2" fontId="2" numFmtId="20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left" vertical="center"/>
    </xf>
    <xf borderId="0" fillId="0" fontId="11" numFmtId="0" xfId="0" applyFont="1"/>
    <xf quotePrefix="1" borderId="0" fillId="0" fontId="3" numFmtId="0" xfId="0" applyAlignment="1" applyFont="1">
      <alignment horizontal="center" vertical="center"/>
    </xf>
    <xf borderId="14" fillId="4" fontId="3" numFmtId="0" xfId="0" applyAlignment="1" applyBorder="1" applyFill="1" applyFont="1">
      <alignment horizontal="center" shrinkToFit="0" vertical="center" wrapText="1"/>
    </xf>
    <xf borderId="15" fillId="4" fontId="3" numFmtId="0" xfId="0" applyAlignment="1" applyBorder="1" applyFill="1" applyFont="1">
      <alignment horizontal="left" vertical="center"/>
    </xf>
    <xf borderId="16" fillId="4" fontId="3" numFmtId="0" xfId="0" applyAlignment="1" applyBorder="1" applyFill="1" applyFont="1">
      <alignment horizontal="center" vertical="center"/>
    </xf>
    <xf borderId="15" fillId="4" fontId="3" numFmtId="0" xfId="0" applyAlignment="1" applyBorder="1" applyFill="1" applyFont="1">
      <alignment horizontal="center" vertical="center"/>
    </xf>
    <xf borderId="17" fillId="4" fontId="3" numFmtId="0" xfId="0" applyAlignment="1" applyBorder="1" applyFill="1" applyFont="1">
      <alignment horizontal="center" vertical="center"/>
    </xf>
    <xf borderId="16" fillId="4" fontId="3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18" fillId="4" fontId="3" numFmtId="0" xfId="0" applyAlignment="1" applyBorder="1" applyFill="1" applyFont="1">
      <alignment horizontal="center" vertical="center"/>
    </xf>
    <xf borderId="19" fillId="4" fontId="3" numFmtId="0" xfId="0" applyAlignment="1" applyBorder="1" applyFill="1" applyFont="1">
      <alignment horizontal="center"/>
    </xf>
    <xf borderId="0" fillId="0" fontId="3" numFmtId="0" xfId="0" applyFont="1"/>
    <xf borderId="20" fillId="4" fontId="3" numFmtId="0" xfId="0" applyAlignment="1" applyBorder="1" applyFill="1" applyFont="1">
      <alignment horizontal="center" vertical="center"/>
    </xf>
    <xf borderId="21" fillId="4" fontId="3" numFmtId="0" xfId="0" applyAlignment="1" applyBorder="1" applyFill="1" applyFont="1">
      <alignment horizontal="right" vertical="center"/>
    </xf>
    <xf borderId="22" fillId="4" fontId="3" numFmtId="0" xfId="0" applyAlignment="1" applyBorder="1" applyFill="1" applyFont="1">
      <alignment horizontal="center" vertical="center"/>
    </xf>
    <xf borderId="23" fillId="4" fontId="3" numFmtId="0" xfId="0" applyAlignment="1" applyBorder="1" applyFill="1" applyFont="1">
      <alignment horizontal="center" vertical="center"/>
    </xf>
    <xf borderId="21" fillId="4" fontId="3" numFmtId="0" xfId="0" applyAlignment="1" applyBorder="1" applyFill="1" applyFont="1">
      <alignment horizontal="left" vertical="center"/>
    </xf>
    <xf borderId="20" fillId="4" fontId="3" numFmtId="0" xfId="0" applyAlignment="1" applyBorder="1" applyFill="1" applyFont="1">
      <alignment horizontal="left" vertical="center"/>
    </xf>
    <xf borderId="0" fillId="0" fontId="3" numFmtId="0" xfId="0" applyAlignment="1" applyFont="1">
      <alignment horizontal="right" vertical="center"/>
    </xf>
    <xf borderId="24" fillId="5" fontId="3" numFmtId="0" xfId="0" applyAlignment="1" applyBorder="1" applyFill="1" applyFont="1">
      <alignment horizontal="center" vertical="center"/>
    </xf>
    <xf borderId="25" fillId="0" fontId="3" numFmtId="0" xfId="0" applyAlignment="1" applyBorder="1" applyFont="1">
      <alignment horizontal="center" vertical="center"/>
    </xf>
    <xf borderId="26" fillId="5" fontId="3" numFmtId="0" xfId="0" applyAlignment="1" applyBorder="1" applyFill="1" applyFont="1">
      <alignment horizontal="center" vertical="center"/>
    </xf>
    <xf quotePrefix="1" borderId="25" fillId="0" fontId="3" numFmtId="0" xfId="0" applyAlignment="1" applyBorder="1" applyFont="1">
      <alignment horizontal="center" vertical="center"/>
    </xf>
    <xf borderId="27" fillId="5" fontId="3" numFmtId="0" xfId="0" applyAlignment="1" applyBorder="1" applyFill="1" applyFont="1">
      <alignment horizontal="center" vertical="center"/>
    </xf>
    <xf borderId="28" fillId="5" fontId="3" numFmtId="0" xfId="0" applyAlignment="1" applyBorder="1" applyFill="1" applyFont="1">
      <alignment horizontal="center" vertical="center"/>
    </xf>
    <xf borderId="29" fillId="6" fontId="3" numFmtId="0" xfId="0" applyAlignment="1" applyBorder="1" applyFill="1" applyFont="1">
      <alignment horizontal="center" vertical="center"/>
    </xf>
    <xf borderId="0" fillId="0" fontId="3" numFmtId="10" xfId="0" applyAlignment="1" applyFont="1" applyNumberFormat="1">
      <alignment horizontal="left" vertical="center"/>
    </xf>
    <xf borderId="29" fillId="5" fontId="3" numFmtId="0" xfId="0" applyAlignment="1" applyBorder="1" applyFill="1" applyFont="1">
      <alignment horizontal="center" vertical="center"/>
    </xf>
    <xf borderId="28" fillId="6" fontId="3" numFmtId="0" xfId="0" applyAlignment="1" applyBorder="1" applyFill="1" applyFont="1">
      <alignment horizontal="center" vertical="center"/>
    </xf>
    <xf borderId="30" fillId="0" fontId="2" numFmtId="0" xfId="0" applyAlignment="1" applyBorder="1" applyFont="1">
      <alignment horizontal="right" vertical="center"/>
    </xf>
    <xf borderId="28" fillId="5" fontId="3" numFmtId="0" xfId="0" applyAlignment="1" applyBorder="1" applyFill="1" applyFont="1">
      <alignment horizontal="left" vertical="center"/>
    </xf>
    <xf quotePrefix="1" borderId="1" fillId="2" fontId="2" numFmtId="0" xfId="0" applyAlignment="1" applyBorder="1" applyFill="1" applyFont="1">
      <alignment horizontal="left" vertical="center"/>
    </xf>
    <xf borderId="1" fillId="5" fontId="3" numFmtId="0" xfId="0" applyAlignment="1" applyBorder="1" applyFill="1" applyFont="1">
      <alignment horizontal="center" vertical="center"/>
    </xf>
    <xf borderId="17" fillId="7" fontId="12" numFmtId="0" xfId="0" applyAlignment="1" applyBorder="1" applyFill="1" applyFont="1">
      <alignment horizontal="left" vertical="center"/>
    </xf>
    <xf borderId="1" fillId="7" fontId="13" numFmtId="0" xfId="0" applyAlignment="1" applyBorder="1" applyFill="1" applyFont="1">
      <alignment horizontal="center" vertical="center"/>
    </xf>
    <xf borderId="17" fillId="7" fontId="3" numFmtId="0" xfId="0" applyAlignment="1" applyBorder="1" applyFill="1" applyFont="1">
      <alignment horizontal="left" vertical="center"/>
    </xf>
    <xf borderId="1" fillId="2" fontId="11" numFmtId="0" xfId="0" applyBorder="1" applyFill="1" applyFont="1"/>
    <xf quotePrefix="1" borderId="1" fillId="2" fontId="3" numFmtId="0" xfId="0" applyAlignment="1" applyBorder="1" applyFill="1" applyFont="1">
      <alignment horizontal="left" vertical="center"/>
    </xf>
    <xf borderId="17" fillId="7" fontId="12" numFmtId="0" xfId="0" applyAlignment="1" applyBorder="1" applyFill="1" applyFont="1">
      <alignment horizontal="center" vertical="center"/>
    </xf>
    <xf quotePrefix="1" borderId="1" fillId="2" fontId="3" numFmtId="0" xfId="0" applyAlignment="1" applyBorder="1" applyFill="1" applyFont="1">
      <alignment horizontal="center" vertical="center"/>
    </xf>
    <xf borderId="17" fillId="7" fontId="13" numFmtId="0" xfId="0" applyAlignment="1" applyBorder="1" applyFill="1" applyFont="1">
      <alignment horizontal="center" vertical="center"/>
    </xf>
    <xf borderId="1" fillId="2" fontId="3" numFmtId="1" xfId="0" applyAlignment="1" applyBorder="1" applyFill="1" applyFont="1" applyNumberFormat="1">
      <alignment horizontal="center" vertical="center"/>
    </xf>
    <xf borderId="1" fillId="2" fontId="6" numFmtId="1" xfId="0" applyAlignment="1" applyBorder="1" applyFill="1" applyFont="1" applyNumberFormat="1">
      <alignment horizontal="center" vertical="center"/>
    </xf>
    <xf borderId="31" fillId="5" fontId="3" numFmtId="0" xfId="0" applyAlignment="1" applyBorder="1" applyFill="1" applyFont="1">
      <alignment horizontal="left" vertical="center"/>
    </xf>
    <xf borderId="8" fillId="3" fontId="14" numFmtId="0" xfId="0" applyAlignment="1" applyBorder="1" applyFill="1" applyFont="1">
      <alignment horizontal="center" vertical="center"/>
    </xf>
    <xf borderId="32" fillId="0" fontId="8" numFmtId="0" xfId="0" applyBorder="1" applyFont="1"/>
    <xf borderId="25" fillId="0" fontId="8" numFmtId="0" xfId="0" applyBorder="1" applyFont="1"/>
    <xf borderId="33" fillId="0" fontId="8" numFmtId="0" xfId="0" applyBorder="1" applyFont="1"/>
    <xf borderId="31" fillId="5" fontId="3" numFmtId="0" xfId="0" applyAlignment="1" applyBorder="1" applyFill="1" applyFont="1">
      <alignment horizontal="center" vertical="center"/>
    </xf>
    <xf borderId="3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left" vertical="center"/>
    </xf>
    <xf borderId="34" fillId="3" fontId="3" numFmtId="0" xfId="0" applyAlignment="1" applyBorder="1" applyFill="1" applyFont="1">
      <alignment horizontal="left"/>
    </xf>
    <xf borderId="35" fillId="3" fontId="3" numFmtId="0" xfId="0" applyAlignment="1" applyBorder="1" applyFill="1" applyFont="1">
      <alignment horizontal="left" vertical="center"/>
    </xf>
    <xf borderId="36" fillId="3" fontId="3" numFmtId="0" xfId="0" applyAlignment="1" applyBorder="1" applyFill="1" applyFont="1">
      <alignment horizontal="left" vertical="center"/>
    </xf>
    <xf borderId="37" fillId="3" fontId="3" numFmtId="0" xfId="0" applyAlignment="1" applyBorder="1" applyFill="1" applyFont="1">
      <alignment horizontal="center" shrinkToFit="0" vertical="center" wrapText="1"/>
    </xf>
    <xf borderId="34" fillId="3" fontId="3" numFmtId="0" xfId="0" applyAlignment="1" applyBorder="1" applyFill="1" applyFont="1">
      <alignment horizontal="center" shrinkToFit="0" vertical="center" wrapText="1"/>
    </xf>
    <xf borderId="37" fillId="3" fontId="3" numFmtId="0" xfId="0" applyAlignment="1" applyBorder="1" applyFill="1" applyFont="1">
      <alignment horizontal="center" vertical="center"/>
    </xf>
    <xf borderId="11" fillId="3" fontId="3" numFmtId="0" xfId="0" applyAlignment="1" applyBorder="1" applyFill="1" applyFont="1">
      <alignment horizontal="left" vertical="center"/>
    </xf>
    <xf borderId="12" fillId="3" fontId="3" numFmtId="0" xfId="0" applyAlignment="1" applyBorder="1" applyFill="1" applyFont="1">
      <alignment horizontal="left" vertical="center"/>
    </xf>
    <xf borderId="13" fillId="3" fontId="3" numFmtId="0" xfId="0" applyAlignment="1" applyBorder="1" applyFill="1" applyFont="1">
      <alignment horizontal="left" vertical="center"/>
    </xf>
    <xf borderId="38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0" fillId="0" fontId="3" numFmtId="2" xfId="0" applyAlignment="1" applyFont="1" applyNumberFormat="1">
      <alignment horizontal="left" vertical="center"/>
    </xf>
    <xf borderId="0" fillId="0" fontId="15" numFmtId="0" xfId="0" applyAlignment="1" applyFont="1">
      <alignment horizontal="center" vertical="center"/>
    </xf>
    <xf borderId="0" fillId="0" fontId="3" numFmtId="164" xfId="0" applyAlignment="1" applyFont="1" applyNumberFormat="1">
      <alignment horizontal="left" vertical="center"/>
    </xf>
    <xf borderId="39" fillId="3" fontId="3" numFmtId="0" xfId="0" applyAlignment="1" applyBorder="1" applyFill="1" applyFont="1">
      <alignment horizontal="left" vertical="center"/>
    </xf>
    <xf borderId="31" fillId="3" fontId="3" numFmtId="0" xfId="0" applyAlignment="1" applyBorder="1" applyFill="1" applyFont="1">
      <alignment horizontal="left" vertical="center"/>
    </xf>
    <xf borderId="40" fillId="3" fontId="3" numFmtId="0" xfId="0" applyAlignment="1" applyBorder="1" applyFill="1" applyFont="1">
      <alignment horizontal="left" vertical="center"/>
    </xf>
    <xf borderId="41" fillId="5" fontId="3" numFmtId="0" xfId="0" applyAlignment="1" applyBorder="1" applyFill="1" applyFont="1">
      <alignment horizontal="center" vertical="center"/>
    </xf>
    <xf borderId="1" fillId="2" fontId="3" numFmtId="1" xfId="0" applyAlignment="1" applyBorder="1" applyFill="1" applyFont="1" applyNumberFormat="1">
      <alignment horizontal="left" vertical="center"/>
    </xf>
    <xf borderId="0" fillId="0" fontId="3" numFmtId="0" xfId="0" applyAlignment="1" applyFont="1">
      <alignment horizontal="right"/>
    </xf>
    <xf borderId="25" fillId="0" fontId="3" numFmtId="164" xfId="0" applyAlignment="1" applyBorder="1" applyFont="1" applyNumberForma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1" fillId="2" fontId="3" numFmtId="2" xfId="0" applyAlignment="1" applyBorder="1" applyFill="1" applyFont="1" applyNumberForma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7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/>
    </xf>
    <xf borderId="0" fillId="0" fontId="3" numFmtId="0" xfId="0" applyAlignment="1" applyFont="1">
      <alignment horizontal="left"/>
    </xf>
    <xf borderId="0" fillId="0" fontId="3" numFmtId="164" xfId="0" applyAlignment="1" applyFont="1" applyNumberFormat="1">
      <alignment vertical="center"/>
    </xf>
    <xf borderId="0" fillId="0" fontId="17" numFmtId="0" xfId="0" applyFont="1"/>
    <xf borderId="1" fillId="2" fontId="3" numFmtId="0" xfId="0" applyAlignment="1" applyBorder="1" applyFill="1" applyFont="1">
      <alignment horizontal="left"/>
    </xf>
    <xf borderId="1" fillId="2" fontId="3" numFmtId="164" xfId="0" applyAlignment="1" applyBorder="1" applyFill="1" applyFont="1" applyNumberFormat="1">
      <alignment horizontal="center" vertical="center"/>
    </xf>
    <xf borderId="2" fillId="0" fontId="3" numFmtId="0" xfId="0" applyAlignment="1" applyBorder="1" applyFont="1">
      <alignment horizontal="left" vertical="center"/>
    </xf>
    <xf borderId="4" fillId="0" fontId="3" numFmtId="0" xfId="0" applyAlignment="1" applyBorder="1" applyFont="1">
      <alignment horizontal="left" vertical="center"/>
    </xf>
    <xf borderId="42" fillId="0" fontId="3" numFmtId="0" xfId="0" applyAlignment="1" applyBorder="1" applyFont="1">
      <alignment horizontal="right" vertical="center"/>
    </xf>
    <xf borderId="43" fillId="0" fontId="17" numFmtId="0" xfId="0" applyAlignment="1" applyBorder="1" applyFont="1">
      <alignment horizontal="left" vertical="center"/>
    </xf>
    <xf borderId="1" fillId="2" fontId="3" numFmtId="0" xfId="0" applyAlignment="1" applyBorder="1" applyFill="1" applyFont="1">
      <alignment horizontal="right" vertical="center"/>
    </xf>
    <xf borderId="32" fillId="0" fontId="3" numFmtId="0" xfId="0" applyAlignment="1" applyBorder="1" applyFont="1">
      <alignment horizontal="right" vertical="center"/>
    </xf>
    <xf borderId="1" fillId="2" fontId="3" numFmtId="164" xfId="0" applyAlignment="1" applyBorder="1" applyFill="1" applyFont="1" applyNumberFormat="1">
      <alignment horizontal="left" vertical="center"/>
    </xf>
    <xf borderId="33" fillId="0" fontId="3" numFmtId="0" xfId="0" applyAlignment="1" applyBorder="1" applyFont="1">
      <alignment horizontal="left" vertical="center"/>
    </xf>
    <xf borderId="41" fillId="0" fontId="17" numFmtId="0" xfId="0" applyAlignment="1" applyBorder="1" applyFont="1">
      <alignment horizontal="center"/>
    </xf>
    <xf borderId="41" fillId="0" fontId="17" numFmtId="0" xfId="0" applyAlignment="1" applyBorder="1" applyFont="1">
      <alignment horizontal="center" vertical="center"/>
    </xf>
    <xf borderId="44" fillId="0" fontId="3" numFmtId="0" xfId="0" applyAlignment="1" applyBorder="1" applyFont="1">
      <alignment horizontal="left" vertical="center"/>
    </xf>
    <xf borderId="1" fillId="2" fontId="3" numFmtId="10" xfId="0" applyAlignment="1" applyBorder="1" applyFill="1" applyFont="1" applyNumberFormat="1">
      <alignment horizontal="center" vertical="center"/>
    </xf>
    <xf borderId="41" fillId="0" fontId="3" numFmtId="165" xfId="0" applyAlignment="1" applyBorder="1" applyFont="1" applyNumberFormat="1">
      <alignment horizontal="center" vertical="center"/>
    </xf>
    <xf borderId="41" fillId="0" fontId="3" numFmtId="164" xfId="0" applyAlignment="1" applyBorder="1" applyFont="1" applyNumberFormat="1">
      <alignment horizontal="center" vertical="center"/>
    </xf>
    <xf borderId="34" fillId="2" fontId="3" numFmtId="0" xfId="0" applyAlignment="1" applyBorder="1" applyFill="1" applyFont="1">
      <alignment horizontal="left" vertical="center"/>
    </xf>
    <xf borderId="35" fillId="2" fontId="3" numFmtId="0" xfId="0" applyAlignment="1" applyBorder="1" applyFill="1" applyFont="1">
      <alignment horizontal="left" vertical="center"/>
    </xf>
    <xf borderId="36" fillId="2" fontId="3" numFmtId="0" xfId="0" applyAlignment="1" applyBorder="1" applyFill="1" applyFont="1">
      <alignment horizontal="left" vertical="center"/>
    </xf>
    <xf borderId="37" fillId="2" fontId="3" numFmtId="0" xfId="0" applyAlignment="1" applyBorder="1" applyFill="1" applyFont="1">
      <alignment horizontal="center" shrinkToFit="0" vertical="center" wrapText="1"/>
    </xf>
    <xf borderId="37" fillId="2" fontId="3" numFmtId="0" xfId="0" applyAlignment="1" applyBorder="1" applyFill="1" applyFont="1">
      <alignment horizontal="center" vertical="center"/>
    </xf>
    <xf borderId="34" fillId="2" fontId="3" numFmtId="0" xfId="0" applyAlignment="1" applyBorder="1" applyFill="1" applyFont="1">
      <alignment horizontal="center" vertical="center"/>
    </xf>
    <xf borderId="45" fillId="2" fontId="3" numFmtId="0" xfId="0" applyAlignment="1" applyBorder="1" applyFill="1" applyFont="1">
      <alignment horizontal="left" vertical="center"/>
    </xf>
    <xf borderId="46" fillId="2" fontId="3" numFmtId="0" xfId="0" applyAlignment="1" applyBorder="1" applyFill="1" applyFont="1">
      <alignment horizontal="left" vertical="center"/>
    </xf>
    <xf borderId="47" fillId="2" fontId="3" numFmtId="0" xfId="0" applyAlignment="1" applyBorder="1" applyFill="1" applyFont="1">
      <alignment horizontal="center" vertical="center"/>
    </xf>
    <xf borderId="11" fillId="2" fontId="3" numFmtId="0" xfId="0" applyAlignment="1" applyBorder="1" applyFill="1" applyFont="1">
      <alignment horizontal="left" vertical="center"/>
    </xf>
    <xf borderId="12" fillId="2" fontId="3" numFmtId="0" xfId="0" applyAlignment="1" applyBorder="1" applyFill="1" applyFont="1">
      <alignment horizontal="left" vertical="center"/>
    </xf>
    <xf borderId="13" fillId="2" fontId="3" numFmtId="0" xfId="0" applyAlignment="1" applyBorder="1" applyFill="1" applyFont="1">
      <alignment horizontal="left" vertical="center"/>
    </xf>
    <xf borderId="38" fillId="2" fontId="3" numFmtId="0" xfId="0" applyAlignment="1" applyBorder="1" applyFill="1" applyFont="1">
      <alignment horizontal="left" vertical="center"/>
    </xf>
    <xf borderId="38" fillId="2" fontId="3" numFmtId="0" xfId="0" applyAlignment="1" applyBorder="1" applyFill="1" applyFont="1">
      <alignment horizontal="center" vertical="center"/>
    </xf>
    <xf borderId="12" fillId="2" fontId="3" numFmtId="0" xfId="0" applyAlignment="1" applyBorder="1" applyFill="1" applyFont="1">
      <alignment horizontal="center" vertical="center"/>
    </xf>
    <xf borderId="39" fillId="2" fontId="3" numFmtId="0" xfId="0" applyAlignment="1" applyBorder="1" applyFill="1" applyFont="1">
      <alignment horizontal="left" vertical="center"/>
    </xf>
    <xf borderId="31" fillId="2" fontId="3" numFmtId="0" xfId="0" applyAlignment="1" applyBorder="1" applyFill="1" applyFont="1">
      <alignment horizontal="left" vertical="center"/>
    </xf>
    <xf borderId="40" fillId="2" fontId="3" numFmtId="0" xfId="0" applyAlignment="1" applyBorder="1" applyFill="1" applyFont="1">
      <alignment horizontal="left" vertical="center"/>
    </xf>
    <xf borderId="41" fillId="2" fontId="3" numFmtId="0" xfId="0" applyAlignment="1" applyBorder="1" applyFill="1" applyFont="1">
      <alignment horizontal="center" vertical="center"/>
    </xf>
    <xf borderId="0" fillId="0" fontId="3" numFmtId="165" xfId="0" applyAlignment="1" applyFont="1" applyNumberFormat="1">
      <alignment horizontal="center" vertical="center"/>
    </xf>
    <xf borderId="31" fillId="2" fontId="3" numFmtId="164" xfId="0" applyAlignment="1" applyBorder="1" applyFill="1" applyFont="1" applyNumberFormat="1">
      <alignment horizontal="center" vertical="center"/>
    </xf>
    <xf borderId="39" fillId="2" fontId="3" numFmtId="0" xfId="0" applyAlignment="1" applyBorder="1" applyFill="1" applyFont="1">
      <alignment horizontal="center" vertical="center"/>
    </xf>
    <xf borderId="39" fillId="2" fontId="3" numFmtId="0" xfId="0" applyAlignment="1" applyBorder="1" applyFill="1" applyFont="1">
      <alignment horizontal="right" vertical="center"/>
    </xf>
    <xf borderId="41" fillId="2" fontId="3" numFmtId="165" xfId="0" applyAlignment="1" applyBorder="1" applyFill="1" applyFont="1" applyNumberFormat="1">
      <alignment horizontal="center" vertical="center"/>
    </xf>
    <xf borderId="41" fillId="2" fontId="3" numFmtId="164" xfId="0" applyAlignment="1" applyBorder="1" applyFill="1" applyFont="1" applyNumberFormat="1">
      <alignment horizontal="center" vertical="center"/>
    </xf>
    <xf borderId="39" fillId="8" fontId="3" numFmtId="0" xfId="0" applyAlignment="1" applyBorder="1" applyFill="1" applyFont="1">
      <alignment horizontal="right" vertical="center"/>
    </xf>
    <xf borderId="40" fillId="8" fontId="3" numFmtId="0" xfId="0" applyAlignment="1" applyBorder="1" applyFill="1" applyFont="1">
      <alignment horizontal="left" vertical="center"/>
    </xf>
    <xf borderId="41" fillId="8" fontId="3" numFmtId="165" xfId="0" applyAlignment="1" applyBorder="1" applyFill="1" applyFont="1" applyNumberFormat="1">
      <alignment horizontal="center" vertical="center"/>
    </xf>
    <xf borderId="41" fillId="8" fontId="3" numFmtId="164" xfId="0" applyAlignment="1" applyBorder="1" applyFill="1" applyFont="1" applyNumberFormat="1">
      <alignment horizontal="center" vertical="center"/>
    </xf>
    <xf borderId="34" fillId="8" fontId="3" numFmtId="0" xfId="0" applyAlignment="1" applyBorder="1" applyFill="1" applyFont="1">
      <alignment horizontal="right" vertical="center"/>
    </xf>
    <xf borderId="36" fillId="8" fontId="3" numFmtId="0" xfId="0" applyAlignment="1" applyBorder="1" applyFill="1" applyFont="1">
      <alignment horizontal="left" vertical="center"/>
    </xf>
    <xf borderId="1" fillId="8" fontId="3" numFmtId="165" xfId="0" applyAlignment="1" applyBorder="1" applyFill="1" applyFont="1" applyNumberFormat="1">
      <alignment horizontal="center" vertical="center"/>
    </xf>
    <xf borderId="39" fillId="9" fontId="3" numFmtId="0" xfId="0" applyAlignment="1" applyBorder="1" applyFill="1" applyFont="1">
      <alignment horizontal="right" vertical="center"/>
    </xf>
    <xf borderId="40" fillId="9" fontId="3" numFmtId="0" xfId="0" applyAlignment="1" applyBorder="1" applyFill="1" applyFont="1">
      <alignment horizontal="left" vertical="center"/>
    </xf>
    <xf borderId="41" fillId="9" fontId="3" numFmtId="165" xfId="0" applyAlignment="1" applyBorder="1" applyFill="1" applyFont="1" applyNumberFormat="1">
      <alignment horizontal="center" vertical="center"/>
    </xf>
    <xf borderId="41" fillId="9" fontId="3" numFmtId="164" xfId="0" applyAlignment="1" applyBorder="1" applyFill="1" applyFont="1" applyNumberFormat="1">
      <alignment horizontal="center" vertical="center"/>
    </xf>
    <xf borderId="11" fillId="9" fontId="3" numFmtId="0" xfId="0" applyAlignment="1" applyBorder="1" applyFill="1" applyFont="1">
      <alignment horizontal="right" vertical="center"/>
    </xf>
    <xf borderId="13" fillId="9" fontId="3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right"/>
    </xf>
    <xf borderId="41" fillId="9" fontId="3" numFmtId="166" xfId="0" applyAlignment="1" applyBorder="1" applyFill="1" applyFont="1" applyNumberFormat="1">
      <alignment horizontal="center" vertical="center"/>
    </xf>
    <xf quotePrefix="1" borderId="1" fillId="2" fontId="3" numFmtId="0" xfId="0" applyBorder="1" applyFill="1" applyFont="1"/>
    <xf borderId="36" fillId="9" fontId="3" numFmtId="0" xfId="0" applyAlignment="1" applyBorder="1" applyFill="1" applyFont="1">
      <alignment horizontal="left" vertical="center"/>
    </xf>
    <xf borderId="1" fillId="9" fontId="3" numFmtId="167" xfId="0" applyAlignment="1" applyBorder="1" applyFill="1" applyFont="1" applyNumberFormat="1">
      <alignment vertical="center"/>
    </xf>
    <xf borderId="41" fillId="9" fontId="3" numFmtId="167" xfId="0" applyAlignment="1" applyBorder="1" applyFill="1" applyFont="1" applyNumberFormat="1">
      <alignment horizontal="center" vertical="center"/>
    </xf>
    <xf borderId="31" fillId="2" fontId="6" numFmtId="0" xfId="0" applyAlignment="1" applyBorder="1" applyFill="1" applyFont="1">
      <alignment horizontal="left" vertical="center"/>
    </xf>
    <xf borderId="0" fillId="0" fontId="3" numFmtId="165" xfId="0" applyAlignment="1" applyFont="1" applyNumberFormat="1">
      <alignment horizontal="left" vertical="center"/>
    </xf>
    <xf borderId="0" fillId="0" fontId="15" numFmtId="0" xfId="0" applyAlignment="1" applyFont="1">
      <alignment horizontal="left" vertical="center"/>
    </xf>
    <xf borderId="1" fillId="5" fontId="3" numFmtId="0" xfId="0" applyBorder="1" applyFill="1" applyFont="1"/>
    <xf borderId="0" fillId="0" fontId="3" numFmtId="0" xfId="0" applyAlignment="1" applyFont="1">
      <alignment vertical="center"/>
    </xf>
    <xf borderId="1" fillId="2" fontId="18" numFmtId="0" xfId="0" applyAlignment="1" applyBorder="1" applyFill="1" applyFont="1">
      <alignment horizontal="center" vertical="center"/>
    </xf>
    <xf borderId="0" fillId="0" fontId="19" numFmtId="0" xfId="0" applyAlignment="1" applyFont="1">
      <alignment vertical="center"/>
    </xf>
    <xf borderId="1" fillId="2" fontId="15" numFmtId="0" xfId="0" applyAlignment="1" applyBorder="1" applyFill="1" applyFont="1">
      <alignment horizontal="center" vertical="center"/>
    </xf>
    <xf borderId="0" fillId="0" fontId="20" numFmtId="0" xfId="0" applyAlignment="1" applyFont="1">
      <alignment horizontal="left" vertical="center"/>
    </xf>
    <xf borderId="1" fillId="2" fontId="21" numFmtId="0" xfId="0" applyAlignment="1" applyBorder="1" applyFill="1" applyFont="1">
      <alignment horizontal="center" vertical="center"/>
    </xf>
    <xf borderId="43" fillId="0" fontId="3" numFmtId="164" xfId="0" applyAlignment="1" applyBorder="1" applyFont="1" applyNumberFormat="1">
      <alignment horizontal="left" vertical="center"/>
    </xf>
    <xf borderId="0" fillId="0" fontId="3" numFmtId="1" xfId="0" applyAlignment="1" applyFont="1" applyNumberFormat="1">
      <alignment horizontal="left" vertical="center"/>
    </xf>
    <xf borderId="0" fillId="0" fontId="3" numFmtId="168" xfId="0" applyAlignment="1" applyFont="1" applyNumberFormat="1">
      <alignment horizontal="left" vertical="center"/>
    </xf>
    <xf borderId="0" fillId="0" fontId="22" numFmtId="0" xfId="0" applyAlignment="1" applyFont="1">
      <alignment horizontal="center" vertical="center"/>
    </xf>
    <xf borderId="0" fillId="0" fontId="23" numFmtId="0" xfId="0" applyAlignment="1" applyFont="1">
      <alignment horizontal="left" vertical="center"/>
    </xf>
    <xf borderId="1" fillId="10" fontId="2" numFmtId="0" xfId="0" applyAlignment="1" applyBorder="1" applyFill="1" applyFont="1">
      <alignment horizontal="left" vertical="center"/>
    </xf>
    <xf borderId="1" fillId="10" fontId="3" numFmtId="0" xfId="0" applyAlignment="1" applyBorder="1" applyFill="1" applyFont="1">
      <alignment horizontal="left" vertical="center"/>
    </xf>
    <xf borderId="1" fillId="10" fontId="2" numFmtId="164" xfId="0" applyAlignment="1" applyBorder="1" applyFill="1" applyFont="1" applyNumberFormat="1">
      <alignment horizontal="left" vertical="center"/>
    </xf>
    <xf borderId="1" fillId="10" fontId="17" numFmtId="0" xfId="0" applyAlignment="1" applyBorder="1" applyFill="1" applyFont="1">
      <alignment horizontal="right" vertical="center"/>
    </xf>
    <xf borderId="1" fillId="10" fontId="3" numFmtId="164" xfId="0" applyAlignment="1" applyBorder="1" applyFill="1" applyFont="1" applyNumberFormat="1">
      <alignment horizontal="left" vertical="center"/>
    </xf>
    <xf borderId="1" fillId="10" fontId="3" numFmtId="164" xfId="0" applyAlignment="1" applyBorder="1" applyFill="1" applyFont="1" applyNumberFormat="1">
      <alignment horizontal="center" vertical="center"/>
    </xf>
    <xf borderId="1" fillId="10" fontId="3" numFmtId="0" xfId="0" applyAlignment="1" applyBorder="1" applyFill="1" applyFont="1">
      <alignment horizontal="right" vertical="center"/>
    </xf>
    <xf borderId="1" fillId="10" fontId="3" numFmtId="1" xfId="0" applyAlignment="1" applyBorder="1" applyFill="1" applyFont="1" applyNumberFormat="1">
      <alignment horizontal="left" vertical="center"/>
    </xf>
    <xf borderId="1" fillId="10" fontId="3" numFmtId="168" xfId="0" applyAlignment="1" applyBorder="1" applyFill="1" applyFont="1" applyNumberFormat="1">
      <alignment horizontal="left" vertical="center"/>
    </xf>
    <xf borderId="1" fillId="2" fontId="3" numFmtId="2" xfId="0" applyAlignment="1" applyBorder="1" applyFill="1" applyFont="1" applyNumberFormat="1">
      <alignment horizontal="left" vertical="center"/>
    </xf>
    <xf borderId="0" fillId="0" fontId="24" numFmtId="0" xfId="0" applyAlignment="1" applyFont="1">
      <alignment horizontal="center" vertical="center"/>
    </xf>
    <xf borderId="0" fillId="0" fontId="3" numFmtId="12" xfId="0" applyAlignment="1" applyFont="1" applyNumberFormat="1">
      <alignment horizontal="left" vertical="center"/>
    </xf>
    <xf borderId="1" fillId="2" fontId="2" numFmtId="164" xfId="0" applyAlignment="1" applyBorder="1" applyFill="1" applyFont="1" applyNumberFormat="1">
      <alignment horizontal="left" vertical="center"/>
    </xf>
    <xf borderId="1" fillId="2" fontId="3" numFmtId="2" xfId="0" applyAlignment="1" applyBorder="1" applyFill="1" applyFont="1" applyNumberFormat="1">
      <alignment horizontal="right" vertical="center"/>
    </xf>
    <xf borderId="0" fillId="0" fontId="3" numFmtId="164" xfId="0" applyAlignment="1" applyFont="1" applyNumberFormat="1">
      <alignment horizontal="right" vertical="center"/>
    </xf>
    <xf borderId="31" fillId="2" fontId="3" numFmtId="164" xfId="0" applyAlignment="1" applyBorder="1" applyFill="1" applyFont="1" applyNumberFormat="1">
      <alignment horizontal="left" vertical="center"/>
    </xf>
    <xf quotePrefix="1" borderId="1" fillId="2" fontId="3" numFmtId="0" xfId="0" applyAlignment="1" applyBorder="1" applyFill="1" applyFont="1">
      <alignment horizontal="right" vertical="center"/>
    </xf>
    <xf borderId="0" fillId="0" fontId="2" numFmtId="0" xfId="0" applyFont="1"/>
    <xf borderId="0" fillId="0" fontId="2" numFmtId="164" xfId="0" applyAlignment="1" applyFont="1" applyNumberFormat="1">
      <alignment horizontal="left" vertical="center"/>
    </xf>
    <xf borderId="0" fillId="0" fontId="25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26" numFmtId="164" xfId="0" applyAlignment="1" applyFont="1" applyNumberForma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6" numFmtId="0" xfId="0" applyAlignment="1" applyFont="1">
      <alignment vertical="center"/>
    </xf>
    <xf quotePrefix="1" borderId="1" fillId="2" fontId="11" numFmtId="0" xfId="0" applyBorder="1" applyFill="1" applyFont="1"/>
    <xf borderId="0" fillId="0" fontId="26" numFmtId="164" xfId="0" applyAlignment="1" applyFont="1" applyNumberFormat="1">
      <alignment vertical="center"/>
    </xf>
    <xf borderId="0" fillId="0" fontId="26" numFmtId="0" xfId="0" applyAlignment="1" applyFont="1">
      <alignment horizontal="center" vertical="center"/>
    </xf>
    <xf borderId="0" fillId="0" fontId="26" numFmtId="1" xfId="0" applyAlignment="1" applyFont="1" applyNumberFormat="1">
      <alignment horizontal="center" vertical="center"/>
    </xf>
    <xf borderId="0" fillId="0" fontId="26" numFmtId="0" xfId="0" applyAlignment="1" applyFont="1">
      <alignment horizontal="right" vertical="center"/>
    </xf>
    <xf borderId="0" fillId="0" fontId="28" numFmtId="0" xfId="0" applyAlignment="1" applyFont="1">
      <alignment horizontal="left" vertical="center"/>
    </xf>
    <xf borderId="48" fillId="0" fontId="26" numFmtId="164" xfId="0" applyAlignment="1" applyBorder="1" applyFont="1" applyNumberFormat="1">
      <alignment vertical="center"/>
    </xf>
    <xf borderId="1" fillId="2" fontId="3" numFmtId="10" xfId="0" applyAlignment="1" applyBorder="1" applyFill="1" applyFont="1" applyNumberFormat="1">
      <alignment horizontal="left" vertical="center"/>
    </xf>
    <xf borderId="1" fillId="2" fontId="23" numFmtId="0" xfId="0" applyAlignment="1" applyBorder="1" applyFill="1" applyFont="1">
      <alignment horizontal="left" vertical="center"/>
    </xf>
    <xf quotePrefix="1" borderId="0" fillId="0" fontId="26" numFmtId="0" xfId="0" applyAlignment="1" applyFont="1">
      <alignment vertical="center"/>
    </xf>
    <xf borderId="0" fillId="0" fontId="26" numFmtId="1" xfId="0" applyAlignment="1" applyFont="1" applyNumberFormat="1">
      <alignment vertical="center"/>
    </xf>
    <xf borderId="1" fillId="11" fontId="26" numFmtId="0" xfId="0" applyAlignment="1" applyBorder="1" applyFill="1" applyFont="1">
      <alignment horizontal="center" vertical="center"/>
    </xf>
    <xf borderId="0" fillId="0" fontId="26" numFmtId="10" xfId="0" applyAlignment="1" applyFont="1" applyNumberFormat="1">
      <alignment vertical="center"/>
    </xf>
    <xf borderId="1" fillId="12" fontId="29" numFmtId="0" xfId="0" applyAlignment="1" applyBorder="1" applyFill="1" applyFont="1">
      <alignment vertical="center"/>
    </xf>
    <xf borderId="1" fillId="12" fontId="29" numFmtId="164" xfId="0" applyAlignment="1" applyBorder="1" applyFill="1" applyFont="1" applyNumberFormat="1">
      <alignment vertical="center"/>
    </xf>
    <xf borderId="1" fillId="12" fontId="26" numFmtId="0" xfId="0" applyAlignment="1" applyBorder="1" applyFill="1" applyFont="1">
      <alignment vertical="center"/>
    </xf>
    <xf borderId="1" fillId="12" fontId="30" numFmtId="0" xfId="0" applyAlignment="1" applyBorder="1" applyFill="1" applyFont="1">
      <alignment horizontal="right" vertical="center"/>
    </xf>
    <xf borderId="1" fillId="12" fontId="26" numFmtId="164" xfId="0" applyAlignment="1" applyBorder="1" applyFill="1" applyFont="1" applyNumberFormat="1">
      <alignment vertical="center"/>
    </xf>
    <xf borderId="1" fillId="12" fontId="26" numFmtId="164" xfId="0" applyAlignment="1" applyBorder="1" applyFill="1" applyFont="1" applyNumberFormat="1">
      <alignment horizontal="center" vertical="center"/>
    </xf>
    <xf borderId="1" fillId="12" fontId="26" numFmtId="0" xfId="0" applyAlignment="1" applyBorder="1" applyFill="1" applyFont="1">
      <alignment horizontal="right" vertical="center"/>
    </xf>
    <xf borderId="1" fillId="12" fontId="26" numFmtId="1" xfId="0" applyAlignment="1" applyBorder="1" applyFill="1" applyFont="1" applyNumberFormat="1">
      <alignment horizontal="center" vertical="center"/>
    </xf>
    <xf borderId="1" fillId="12" fontId="26" numFmtId="10" xfId="0" applyAlignment="1" applyBorder="1" applyFill="1" applyFont="1" applyNumberFormat="1">
      <alignment vertical="center"/>
    </xf>
    <xf borderId="1" fillId="2" fontId="3" numFmtId="169" xfId="0" applyAlignment="1" applyBorder="1" applyFill="1" applyFont="1" applyNumberFormat="1">
      <alignment horizontal="center" vertical="center"/>
    </xf>
    <xf borderId="1" fillId="2" fontId="6" numFmtId="1" xfId="0" applyAlignment="1" applyBorder="1" applyFill="1" applyFont="1" applyNumberFormat="1">
      <alignment horizontal="left" vertical="center"/>
    </xf>
    <xf borderId="41" fillId="0" fontId="3" numFmtId="0" xfId="0" applyAlignment="1" applyBorder="1" applyFont="1">
      <alignment horizontal="left" vertical="center"/>
    </xf>
    <xf borderId="41" fillId="0" fontId="3" numFmtId="0" xfId="0" applyAlignment="1" applyBorder="1" applyFont="1">
      <alignment horizontal="center" vertical="center"/>
    </xf>
    <xf borderId="42" fillId="0" fontId="3" numFmtId="0" xfId="0" applyAlignment="1" applyBorder="1" applyFont="1">
      <alignment horizontal="center" vertical="center"/>
    </xf>
    <xf borderId="40" fillId="11" fontId="26" numFmtId="0" xfId="0" applyAlignment="1" applyBorder="1" applyFill="1" applyFont="1">
      <alignment horizontal="center" vertical="center"/>
    </xf>
    <xf borderId="41" fillId="0" fontId="3" numFmtId="1" xfId="0" applyAlignment="1" applyBorder="1" applyFont="1" applyNumberFormat="1">
      <alignment horizontal="center" vertical="center"/>
    </xf>
    <xf borderId="42" fillId="0" fontId="3" numFmtId="0" xfId="0" applyAlignment="1" applyBorder="1" applyFont="1">
      <alignment horizontal="left" vertical="center"/>
    </xf>
    <xf borderId="41" fillId="5" fontId="17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1" fillId="13" fontId="3" numFmtId="10" xfId="0" applyAlignment="1" applyBorder="1" applyFill="1" applyFont="1" applyNumberFormat="1">
      <alignment horizontal="left" vertical="center"/>
    </xf>
    <xf quotePrefix="1" borderId="0" fillId="0" fontId="3" numFmtId="0" xfId="0" applyAlignment="1" applyFont="1">
      <alignment horizontal="right" vertical="center"/>
    </xf>
    <xf borderId="1" fillId="13" fontId="2" numFmtId="0" xfId="0" applyAlignment="1" applyBorder="1" applyFill="1" applyFont="1">
      <alignment horizontal="left" vertical="center"/>
    </xf>
    <xf borderId="1" fillId="13" fontId="2" numFmtId="0" xfId="0" applyAlignment="1" applyBorder="1" applyFill="1" applyFont="1">
      <alignment horizontal="center" vertical="center"/>
    </xf>
    <xf borderId="0" fillId="0" fontId="24" numFmtId="0" xfId="0" applyFont="1"/>
    <xf borderId="0" fillId="0" fontId="24" numFmtId="0" xfId="0" applyAlignment="1" applyFont="1">
      <alignment horizontal="left" vertical="center"/>
    </xf>
    <xf borderId="0" fillId="0" fontId="3" numFmtId="164" xfId="0" applyAlignment="1" applyFont="1" applyNumberFormat="1">
      <alignment horizontal="center" vertical="center"/>
    </xf>
    <xf borderId="1" fillId="2" fontId="17" numFmtId="0" xfId="0" applyAlignment="1" applyBorder="1" applyFill="1" applyFont="1">
      <alignment horizontal="center" vertical="center"/>
    </xf>
    <xf borderId="1" fillId="2" fontId="3" numFmtId="9" xfId="0" applyAlignment="1" applyBorder="1" applyFill="1" applyFont="1" applyNumberFormat="1">
      <alignment horizontal="left" vertical="center"/>
    </xf>
    <xf borderId="1" fillId="2" fontId="3" numFmtId="169" xfId="0" applyAlignment="1" applyBorder="1" applyFill="1" applyFont="1" applyNumberFormat="1">
      <alignment horizontal="left" vertical="center"/>
    </xf>
    <xf borderId="0" fillId="0" fontId="24" numFmtId="0" xfId="0" applyAlignment="1" applyFont="1">
      <alignment horizontal="right" vertical="center"/>
    </xf>
    <xf borderId="0" fillId="0" fontId="3" numFmtId="2" xfId="0" applyAlignment="1" applyFont="1" applyNumberFormat="1">
      <alignment horizontal="center" vertical="center"/>
    </xf>
    <xf borderId="0" fillId="0" fontId="31" numFmtId="2" xfId="0" applyAlignment="1" applyFont="1" applyNumberFormat="1">
      <alignment horizontal="left" vertical="center"/>
    </xf>
    <xf borderId="0" fillId="0" fontId="32" numFmtId="0" xfId="0" applyAlignment="1" applyFont="1">
      <alignment horizontal="center" vertical="center"/>
    </xf>
    <xf borderId="0" fillId="0" fontId="24" numFmtId="0" xfId="0" applyAlignment="1" applyFont="1">
      <alignment horizontal="center"/>
    </xf>
    <xf quotePrefix="1" borderId="0" fillId="0" fontId="2" numFmtId="0" xfId="0" applyAlignment="1" applyFont="1">
      <alignment horizontal="left" vertical="center"/>
    </xf>
    <xf borderId="0" fillId="0" fontId="33" numFmtId="2" xfId="0" applyAlignment="1" applyFont="1" applyNumberFormat="1">
      <alignment horizontal="left" vertical="center"/>
    </xf>
    <xf borderId="0" fillId="0" fontId="3" numFmtId="1" xfId="0" applyAlignment="1" applyFont="1" applyNumberFormat="1">
      <alignment horizontal="center" vertical="center"/>
    </xf>
    <xf borderId="0" fillId="0" fontId="12" numFmtId="1" xfId="0" applyAlignment="1" applyFont="1" applyNumberFormat="1">
      <alignment horizontal="left" vertical="center"/>
    </xf>
    <xf borderId="0" fillId="0" fontId="34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0" fillId="0" fontId="31" numFmtId="2" xfId="0" applyAlignment="1" applyFont="1" applyNumberFormat="1">
      <alignment horizontal="center"/>
    </xf>
    <xf borderId="0" fillId="0" fontId="2" numFmtId="0" xfId="0" applyAlignment="1" applyFont="1">
      <alignment horizontal="center" vertical="center"/>
    </xf>
    <xf borderId="0" fillId="0" fontId="35" numFmtId="0" xfId="0" applyAlignment="1" applyFont="1">
      <alignment horizontal="left"/>
    </xf>
    <xf borderId="8" fillId="3" fontId="36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right" vertical="top"/>
    </xf>
    <xf borderId="0" fillId="0" fontId="37" numFmtId="0" xfId="0" applyAlignment="1" applyFont="1">
      <alignment horizontal="right"/>
    </xf>
    <xf borderId="1" fillId="2" fontId="38" numFmtId="0" xfId="0" applyAlignment="1" applyBorder="1" applyFill="1" applyFont="1">
      <alignment horizontal="left" vertical="center"/>
    </xf>
    <xf borderId="1" fillId="2" fontId="39" numFmtId="0" xfId="0" applyAlignment="1" applyBorder="1" applyFill="1" applyFont="1">
      <alignment horizontal="left" vertical="center"/>
    </xf>
    <xf quotePrefix="1" borderId="1" fillId="2" fontId="38" numFmtId="0" xfId="0" applyAlignment="1" applyBorder="1" applyFill="1" applyFont="1">
      <alignment horizontal="right" vertical="center"/>
    </xf>
    <xf borderId="1" fillId="2" fontId="3" numFmtId="164" xfId="0" applyAlignment="1" applyBorder="1" applyFill="1" applyFont="1" applyNumberFormat="1">
      <alignment horizontal="right" vertical="center"/>
    </xf>
    <xf borderId="1" fillId="2" fontId="40" numFmtId="0" xfId="0" applyBorder="1" applyFill="1" applyFont="1"/>
    <xf borderId="1" fillId="2" fontId="3" numFmtId="12" xfId="0" applyAlignment="1" applyBorder="1" applyFill="1" applyFont="1" applyNumberFormat="1">
      <alignment horizontal="left" vertical="center"/>
    </xf>
    <xf borderId="1" fillId="2" fontId="41" numFmtId="0" xfId="0" applyAlignment="1" applyBorder="1" applyFill="1" applyFont="1">
      <alignment horizontal="left" vertical="center"/>
    </xf>
    <xf quotePrefix="1" borderId="1" fillId="2" fontId="6" numFmtId="0" xfId="0" applyAlignment="1" applyBorder="1" applyFill="1" applyFont="1">
      <alignment horizontal="left" vertical="center"/>
    </xf>
    <xf borderId="1" fillId="2" fontId="6" numFmtId="0" xfId="0" applyAlignment="1" applyBorder="1" applyFill="1" applyFont="1">
      <alignment horizontal="right" vertical="center"/>
    </xf>
    <xf borderId="1" fillId="2" fontId="42" numFmtId="0" xfId="0" applyBorder="1" applyFill="1" applyFont="1"/>
    <xf borderId="1" fillId="2" fontId="6" numFmtId="164" xfId="0" applyAlignment="1" applyBorder="1" applyFill="1" applyFont="1" applyNumberFormat="1">
      <alignment horizontal="center" vertical="center"/>
    </xf>
    <xf borderId="12" fillId="2" fontId="3" numFmtId="164" xfId="0" applyAlignment="1" applyBorder="1" applyFill="1" applyFont="1" applyNumberFormat="1">
      <alignment horizontal="center" vertical="center"/>
    </xf>
    <xf borderId="1" fillId="2" fontId="6" numFmtId="164" xfId="0" applyAlignment="1" applyBorder="1" applyFill="1" applyFont="1" applyNumberFormat="1">
      <alignment horizontal="left" vertical="center"/>
    </xf>
    <xf borderId="1" fillId="2" fontId="6" numFmtId="2" xfId="0" applyAlignment="1" applyBorder="1" applyFill="1" applyFont="1" applyNumberFormat="1">
      <alignment horizontal="left" vertical="center"/>
    </xf>
    <xf borderId="1" fillId="2" fontId="43" numFmtId="0" xfId="0" applyAlignment="1" applyBorder="1" applyFill="1" applyFont="1">
      <alignment horizontal="center" vertical="center"/>
    </xf>
    <xf borderId="1" fillId="2" fontId="41" numFmtId="0" xfId="0" applyAlignment="1" applyBorder="1" applyFill="1" applyFont="1">
      <alignment horizontal="right" vertical="center"/>
    </xf>
    <xf borderId="1" fillId="2" fontId="40" numFmtId="0" xfId="0" applyAlignment="1" applyBorder="1" applyFill="1" applyFont="1">
      <alignment horizontal="left" vertical="center"/>
    </xf>
    <xf quotePrefix="1" borderId="1" fillId="2" fontId="38" numFmtId="0" xfId="0" applyAlignment="1" applyBorder="1" applyFill="1" applyFont="1">
      <alignment horizontal="left" vertical="center"/>
    </xf>
    <xf borderId="1" fillId="2" fontId="41" numFmtId="0" xfId="0" applyAlignment="1" applyBorder="1" applyFill="1" applyFont="1">
      <alignment horizontal="center" vertical="center"/>
    </xf>
    <xf borderId="1" fillId="2" fontId="6" numFmtId="1" xfId="0" applyAlignment="1" applyBorder="1" applyFill="1" applyFont="1" applyNumberFormat="1">
      <alignment horizontal="right" vertical="center"/>
    </xf>
    <xf borderId="34" fillId="2" fontId="6" numFmtId="0" xfId="0" applyAlignment="1" applyBorder="1" applyFill="1" applyFont="1">
      <alignment horizontal="right" vertical="center"/>
    </xf>
    <xf borderId="36" fillId="2" fontId="6" numFmtId="0" xfId="0" applyAlignment="1" applyBorder="1" applyFill="1" applyFont="1">
      <alignment horizontal="left" vertical="center"/>
    </xf>
    <xf borderId="34" fillId="2" fontId="6" numFmtId="0" xfId="0" applyAlignment="1" applyBorder="1" applyFill="1" applyFont="1">
      <alignment horizontal="left" vertical="center"/>
    </xf>
    <xf borderId="35" fillId="2" fontId="6" numFmtId="0" xfId="0" applyAlignment="1" applyBorder="1" applyFill="1" applyFont="1">
      <alignment horizontal="left" vertical="center"/>
    </xf>
    <xf borderId="36" fillId="2" fontId="6" numFmtId="0" xfId="0" applyAlignment="1" applyBorder="1" applyFill="1" applyFont="1">
      <alignment horizontal="center"/>
    </xf>
    <xf borderId="37" fillId="2" fontId="41" numFmtId="0" xfId="0" applyAlignment="1" applyBorder="1" applyFill="1" applyFont="1">
      <alignment horizontal="center" vertical="center"/>
    </xf>
    <xf borderId="37" fillId="2" fontId="6" numFmtId="0" xfId="0" applyAlignment="1" applyBorder="1" applyFill="1" applyFont="1">
      <alignment horizontal="center"/>
    </xf>
    <xf borderId="12" fillId="2" fontId="6" numFmtId="0" xfId="0" applyAlignment="1" applyBorder="1" applyFill="1" applyFont="1">
      <alignment horizontal="center" vertical="center"/>
    </xf>
    <xf borderId="46" fillId="2" fontId="6" numFmtId="0" xfId="0" applyAlignment="1" applyBorder="1" applyFill="1" applyFont="1">
      <alignment horizontal="center" vertical="center"/>
    </xf>
    <xf borderId="47" fillId="2" fontId="6" numFmtId="0" xfId="0" applyAlignment="1" applyBorder="1" applyFill="1" applyFont="1">
      <alignment horizontal="left" vertical="center"/>
    </xf>
    <xf borderId="47" fillId="2" fontId="6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left" vertical="center"/>
    </xf>
    <xf borderId="1" fillId="2" fontId="44" numFmtId="0" xfId="0" applyAlignment="1" applyBorder="1" applyFill="1" applyFont="1">
      <alignment horizontal="left" vertical="center"/>
    </xf>
    <xf borderId="39" fillId="2" fontId="41" numFmtId="0" xfId="0" applyAlignment="1" applyBorder="1" applyFill="1" applyFont="1">
      <alignment horizontal="center" vertical="center"/>
    </xf>
    <xf borderId="31" fillId="2" fontId="6" numFmtId="0" xfId="0" applyAlignment="1" applyBorder="1" applyFill="1" applyFont="1">
      <alignment horizontal="center" vertical="center"/>
    </xf>
    <xf borderId="39" fillId="2" fontId="6" numFmtId="0" xfId="0" applyAlignment="1" applyBorder="1" applyFill="1" applyFont="1">
      <alignment horizontal="center" vertical="center"/>
    </xf>
    <xf borderId="37" fillId="2" fontId="6" numFmtId="164" xfId="0" applyAlignment="1" applyBorder="1" applyFill="1" applyFont="1" applyNumberFormat="1">
      <alignment horizontal="left" vertical="center"/>
    </xf>
    <xf borderId="41" fillId="2" fontId="6" numFmtId="164" xfId="0" applyAlignment="1" applyBorder="1" applyFill="1" applyFont="1" applyNumberFormat="1">
      <alignment horizontal="center" vertical="center"/>
    </xf>
    <xf borderId="0" fillId="0" fontId="6" numFmtId="1" xfId="0" applyAlignment="1" applyFont="1" applyNumberFormat="1">
      <alignment horizontal="left" vertical="center"/>
    </xf>
    <xf borderId="37" fillId="2" fontId="6" numFmtId="0" xfId="0" applyAlignment="1" applyBorder="1" applyFill="1" applyFont="1">
      <alignment horizontal="left" vertical="center"/>
    </xf>
    <xf borderId="37" fillId="2" fontId="6" numFmtId="0" xfId="0" applyAlignment="1" applyBorder="1" applyFill="1" applyFont="1">
      <alignment horizontal="center" vertical="center"/>
    </xf>
    <xf borderId="11" fillId="2" fontId="6" numFmtId="0" xfId="0" applyAlignment="1" applyBorder="1" applyFill="1" applyFont="1">
      <alignment horizontal="center" vertical="center"/>
    </xf>
    <xf borderId="38" fillId="2" fontId="6" numFmtId="164" xfId="0" applyAlignment="1" applyBorder="1" applyFill="1" applyFont="1" applyNumberFormat="1">
      <alignment horizontal="left" vertical="center"/>
    </xf>
    <xf borderId="38" fillId="2" fontId="6" numFmtId="164" xfId="0" applyAlignment="1" applyBorder="1" applyFill="1" applyFont="1" applyNumberFormat="1">
      <alignment horizontal="center" vertical="center"/>
    </xf>
    <xf borderId="45" fillId="2" fontId="6" numFmtId="0" xfId="0" applyAlignment="1" applyBorder="1" applyFill="1" applyFont="1">
      <alignment horizontal="left" vertical="center"/>
    </xf>
    <xf borderId="46" fillId="2" fontId="6" numFmtId="0" xfId="0" applyAlignment="1" applyBorder="1" applyFill="1" applyFont="1">
      <alignment horizontal="left" vertical="center"/>
    </xf>
    <xf borderId="41" fillId="2" fontId="6" numFmtId="164" xfId="0" applyAlignment="1" applyBorder="1" applyFill="1" applyFont="1" applyNumberFormat="1">
      <alignment horizontal="left" vertical="center"/>
    </xf>
    <xf borderId="39" fillId="2" fontId="6" numFmtId="0" xfId="0" applyAlignment="1" applyBorder="1" applyFill="1" applyFont="1">
      <alignment horizontal="left" vertical="center"/>
    </xf>
    <xf borderId="40" fillId="2" fontId="6" numFmtId="0" xfId="0" applyAlignment="1" applyBorder="1" applyFill="1" applyFont="1">
      <alignment horizontal="left" vertical="center"/>
    </xf>
    <xf borderId="0" fillId="0" fontId="1" numFmtId="0" xfId="0" applyFont="1"/>
    <xf borderId="1" fillId="2" fontId="44" numFmtId="0" xfId="0" applyAlignment="1" applyBorder="1" applyFill="1" applyFont="1">
      <alignment horizontal="right" vertical="center"/>
    </xf>
    <xf borderId="15" fillId="2" fontId="6" numFmtId="0" xfId="0" applyAlignment="1" applyBorder="1" applyFill="1" applyFont="1">
      <alignment horizontal="left" vertical="center"/>
    </xf>
    <xf borderId="17" fillId="2" fontId="6" numFmtId="0" xfId="0" applyAlignment="1" applyBorder="1" applyFill="1" applyFont="1">
      <alignment horizontal="left" vertical="center"/>
    </xf>
    <xf borderId="16" fillId="2" fontId="6" numFmtId="0" xfId="0" applyAlignment="1" applyBorder="1" applyFill="1" applyFont="1">
      <alignment horizontal="left" vertical="center"/>
    </xf>
    <xf borderId="19" fillId="2" fontId="6" numFmtId="0" xfId="0" applyAlignment="1" applyBorder="1" applyFill="1" applyFont="1">
      <alignment horizontal="left" vertical="center"/>
    </xf>
    <xf borderId="20" fillId="2" fontId="6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center" shrinkToFit="0" vertical="center" wrapText="1"/>
    </xf>
    <xf borderId="21" fillId="2" fontId="6" numFmtId="0" xfId="0" applyAlignment="1" applyBorder="1" applyFill="1" applyFont="1">
      <alignment horizontal="left" vertical="center"/>
    </xf>
    <xf borderId="1" fillId="2" fontId="3" numFmtId="2" xfId="0" applyAlignment="1" applyBorder="1" applyFill="1" applyFont="1" applyNumberFormat="1">
      <alignment horizontal="center" shrinkToFit="0" vertical="center" wrapText="1"/>
    </xf>
    <xf borderId="22" fillId="2" fontId="6" numFmtId="0" xfId="0" applyAlignment="1" applyBorder="1" applyFill="1" applyFont="1">
      <alignment horizontal="left" vertical="center"/>
    </xf>
    <xf borderId="1" fillId="2" fontId="6" numFmtId="0" xfId="0" applyAlignment="1" applyBorder="1" applyFill="1" applyFont="1">
      <alignment horizontal="center" shrinkToFit="0" vertical="center" wrapText="1"/>
    </xf>
    <xf borderId="23" fillId="2" fontId="6" numFmtId="0" xfId="0" applyAlignment="1" applyBorder="1" applyFill="1" applyFont="1">
      <alignment horizontal="left" vertical="center"/>
    </xf>
    <xf borderId="41" fillId="0" fontId="3" numFmtId="0" xfId="0" applyAlignment="1" applyBorder="1" applyFont="1">
      <alignment horizontal="center" shrinkToFit="0" vertical="center" wrapText="1"/>
    </xf>
    <xf borderId="41" fillId="0" fontId="3" numFmtId="2" xfId="0" applyAlignment="1" applyBorder="1" applyFont="1" applyNumberFormat="1">
      <alignment horizontal="center" shrinkToFit="0" vertical="center" wrapText="1"/>
    </xf>
    <xf quotePrefix="1" borderId="1" fillId="2" fontId="38" numFmtId="0" xfId="0" applyAlignment="1" applyBorder="1" applyFill="1" applyFont="1">
      <alignment horizontal="center" vertical="center"/>
    </xf>
    <xf borderId="41" fillId="14" fontId="3" numFmtId="0" xfId="0" applyAlignment="1" applyBorder="1" applyFill="1" applyFont="1">
      <alignment horizontal="center" shrinkToFit="0" vertical="center" wrapText="1"/>
    </xf>
    <xf borderId="41" fillId="14" fontId="3" numFmtId="1" xfId="0" applyAlignment="1" applyBorder="1" applyFill="1" applyFont="1" applyNumberFormat="1">
      <alignment horizontal="center" shrinkToFit="0" vertical="center" wrapText="1"/>
    </xf>
    <xf borderId="41" fillId="14" fontId="3" numFmtId="2" xfId="0" applyAlignment="1" applyBorder="1" applyFill="1" applyFont="1" applyNumberFormat="1">
      <alignment horizontal="center" shrinkToFit="0" vertical="center" wrapText="1"/>
    </xf>
    <xf quotePrefix="1" borderId="12" fillId="2" fontId="45" numFmtId="0" xfId="0" applyAlignment="1" applyBorder="1" applyFill="1" applyFont="1">
      <alignment horizontal="center" vertical="center"/>
    </xf>
    <xf quotePrefix="1" borderId="1" fillId="2" fontId="43" numFmtId="0" xfId="0" applyAlignment="1" applyBorder="1" applyFill="1" applyFont="1">
      <alignment horizontal="center"/>
    </xf>
    <xf borderId="1" fillId="2" fontId="46" numFmtId="0" xfId="0" applyAlignment="1" applyBorder="1" applyFill="1" applyFont="1">
      <alignment horizontal="center" vertical="center"/>
    </xf>
    <xf borderId="1" fillId="2" fontId="6" numFmtId="2" xfId="0" applyAlignment="1" applyBorder="1" applyFill="1" applyFont="1" applyNumberFormat="1">
      <alignment horizontal="center" vertical="center"/>
    </xf>
    <xf quotePrefix="1" borderId="1" fillId="2" fontId="6" numFmtId="0" xfId="0" applyAlignment="1" applyBorder="1" applyFill="1" applyFont="1">
      <alignment horizontal="right" vertical="center"/>
    </xf>
    <xf borderId="0" fillId="0" fontId="3" numFmtId="0" xfId="0" applyAlignment="1" applyFont="1">
      <alignment horizontal="center" shrinkToFit="0" vertical="center" wrapText="1"/>
    </xf>
    <xf borderId="12" fillId="2" fontId="6" numFmtId="164" xfId="0" applyAlignment="1" applyBorder="1" applyFill="1" applyFont="1" applyNumberFormat="1">
      <alignment horizontal="center" vertical="center"/>
    </xf>
    <xf borderId="12" fillId="2" fontId="6" numFmtId="164" xfId="0" applyAlignment="1" applyBorder="1" applyFill="1" applyFont="1" applyNumberFormat="1">
      <alignment horizontal="left" vertical="center"/>
    </xf>
    <xf borderId="26" fillId="2" fontId="6" numFmtId="0" xfId="0" applyAlignment="1" applyBorder="1" applyFill="1" applyFont="1">
      <alignment horizontal="left" vertical="center"/>
    </xf>
    <xf borderId="29" fillId="2" fontId="6" numFmtId="0" xfId="0" applyAlignment="1" applyBorder="1" applyFill="1" applyFont="1">
      <alignment horizontal="right" vertical="center"/>
    </xf>
    <xf borderId="28" fillId="2" fontId="6" numFmtId="0" xfId="0" applyAlignment="1" applyBorder="1" applyFill="1" applyFont="1">
      <alignment horizontal="left" vertical="center"/>
    </xf>
    <xf borderId="29" fillId="2" fontId="6" numFmtId="0" xfId="0" applyAlignment="1" applyBorder="1" applyFill="1" applyFont="1">
      <alignment horizontal="left" vertical="center"/>
    </xf>
    <xf borderId="26" fillId="2" fontId="6" numFmtId="0" xfId="0" applyAlignment="1" applyBorder="1" applyFill="1" applyFont="1">
      <alignment horizontal="right" vertical="center"/>
    </xf>
    <xf borderId="29" fillId="2" fontId="6" numFmtId="1" xfId="0" applyAlignment="1" applyBorder="1" applyFill="1" applyFont="1" applyNumberFormat="1">
      <alignment horizontal="center" vertical="center"/>
    </xf>
    <xf borderId="28" fillId="2" fontId="6" numFmtId="0" xfId="0" applyAlignment="1" applyBorder="1" applyFill="1" applyFont="1">
      <alignment horizontal="center" vertical="center"/>
    </xf>
    <xf borderId="26" fillId="2" fontId="6" numFmtId="0" xfId="0" applyAlignment="1" applyBorder="1" applyFill="1" applyFont="1">
      <alignment horizontal="center" vertical="center"/>
    </xf>
    <xf borderId="28" fillId="2" fontId="6" numFmtId="1" xfId="0" applyAlignment="1" applyBorder="1" applyFill="1" applyFont="1" applyNumberFormat="1">
      <alignment horizontal="center" vertical="center"/>
    </xf>
    <xf borderId="0" fillId="0" fontId="23" numFmtId="0" xfId="0" applyAlignment="1" applyFont="1">
      <alignment horizontal="center" vertical="center"/>
    </xf>
    <xf quotePrefix="1" borderId="1" fillId="2" fontId="6" numFmtId="0" xfId="0" applyAlignment="1" applyBorder="1" applyFill="1" applyFont="1">
      <alignment horizontal="center" vertical="center"/>
    </xf>
    <xf borderId="15" fillId="2" fontId="3" numFmtId="0" xfId="0" applyAlignment="1" applyBorder="1" applyFill="1" applyFont="1">
      <alignment horizontal="left" vertical="center"/>
    </xf>
    <xf borderId="17" fillId="2" fontId="3" numFmtId="0" xfId="0" applyAlignment="1" applyBorder="1" applyFill="1" applyFont="1">
      <alignment horizontal="left" vertical="center"/>
    </xf>
    <xf borderId="17" fillId="2" fontId="3" numFmtId="0" xfId="0" applyAlignment="1" applyBorder="1" applyFill="1" applyFont="1">
      <alignment horizontal="center" vertical="center"/>
    </xf>
    <xf borderId="16" fillId="2" fontId="3" numFmtId="0" xfId="0" applyAlignment="1" applyBorder="1" applyFill="1" applyFont="1">
      <alignment horizontal="left" vertical="center"/>
    </xf>
    <xf borderId="19" fillId="2" fontId="3" numFmtId="0" xfId="0" applyAlignment="1" applyBorder="1" applyFill="1" applyFont="1">
      <alignment horizontal="left" vertical="center"/>
    </xf>
    <xf borderId="20" fillId="2" fontId="3" numFmtId="0" xfId="0" applyAlignment="1" applyBorder="1" applyFill="1" applyFont="1">
      <alignment horizontal="left" vertical="center"/>
    </xf>
    <xf borderId="1" fillId="2" fontId="47" numFmtId="0" xfId="0" applyAlignment="1" applyBorder="1" applyFill="1" applyFont="1">
      <alignment horizontal="center" vertical="center"/>
    </xf>
    <xf borderId="21" fillId="2" fontId="3" numFmtId="0" xfId="0" applyAlignment="1" applyBorder="1" applyFill="1" applyFont="1">
      <alignment horizontal="left" vertical="center"/>
    </xf>
    <xf borderId="22" fillId="2" fontId="3" numFmtId="0" xfId="0" applyAlignment="1" applyBorder="1" applyFill="1" applyFont="1">
      <alignment horizontal="left" vertical="center"/>
    </xf>
    <xf borderId="22" fillId="2" fontId="3" numFmtId="0" xfId="0" applyAlignment="1" applyBorder="1" applyFill="1" applyFont="1">
      <alignment horizontal="center" vertical="center"/>
    </xf>
    <xf borderId="23" fillId="2" fontId="3" numFmtId="0" xfId="0" applyAlignment="1" applyBorder="1" applyFill="1" applyFont="1">
      <alignment horizontal="left" vertical="center"/>
    </xf>
    <xf borderId="0" fillId="0" fontId="17" numFmtId="0" xfId="0" applyAlignment="1" applyFont="1">
      <alignment horizontal="right" vertical="center"/>
    </xf>
    <xf borderId="1" fillId="2" fontId="17" numFmtId="0" xfId="0" applyAlignment="1" applyBorder="1" applyFill="1" applyFont="1">
      <alignment horizontal="right" vertical="center"/>
    </xf>
    <xf borderId="0" fillId="0" fontId="3" numFmtId="12" xfId="0" applyAlignment="1" applyFont="1" applyNumberFormat="1">
      <alignment horizontal="center" vertical="center"/>
    </xf>
    <xf borderId="34" fillId="14" fontId="3" numFmtId="0" xfId="0" applyAlignment="1" applyBorder="1" applyFill="1" applyFont="1">
      <alignment horizontal="right" vertical="center"/>
    </xf>
    <xf borderId="36" fillId="14" fontId="3" numFmtId="0" xfId="0" applyAlignment="1" applyBorder="1" applyFill="1" applyFont="1">
      <alignment horizontal="left" vertical="center"/>
    </xf>
    <xf borderId="37" fillId="14" fontId="3" numFmtId="0" xfId="0" applyAlignment="1" applyBorder="1" applyFill="1" applyFont="1">
      <alignment horizontal="center" vertical="center"/>
    </xf>
    <xf borderId="11" fillId="14" fontId="3" numFmtId="0" xfId="0" applyAlignment="1" applyBorder="1" applyFill="1" applyFont="1">
      <alignment horizontal="right" vertical="center"/>
    </xf>
    <xf borderId="13" fillId="14" fontId="3" numFmtId="0" xfId="0" applyAlignment="1" applyBorder="1" applyFill="1" applyFont="1">
      <alignment horizontal="left" vertical="center"/>
    </xf>
    <xf borderId="38" fillId="14" fontId="3" numFmtId="0" xfId="0" applyAlignment="1" applyBorder="1" applyFill="1" applyFont="1">
      <alignment horizontal="center" vertical="center"/>
    </xf>
    <xf borderId="41" fillId="14" fontId="17" numFmtId="0" xfId="0" applyAlignment="1" applyBorder="1" applyFill="1" applyFont="1">
      <alignment horizontal="center" vertical="center"/>
    </xf>
    <xf borderId="41" fillId="14" fontId="3" numFmtId="164" xfId="0" applyAlignment="1" applyBorder="1" applyFill="1" applyFont="1" applyNumberFormat="1">
      <alignment horizontal="center" vertical="center"/>
    </xf>
    <xf borderId="41" fillId="14" fontId="3" numFmtId="0" xfId="0" applyAlignment="1" applyBorder="1" applyFill="1" applyFont="1">
      <alignment horizontal="center" vertical="center"/>
    </xf>
    <xf borderId="39" fillId="14" fontId="3" numFmtId="0" xfId="0" applyAlignment="1" applyBorder="1" applyFill="1" applyFont="1">
      <alignment horizontal="right" vertical="center"/>
    </xf>
    <xf borderId="40" fillId="14" fontId="15" numFmtId="0" xfId="0" applyAlignment="1" applyBorder="1" applyFill="1" applyFont="1">
      <alignment horizontal="left" vertical="center"/>
    </xf>
    <xf borderId="1" fillId="14" fontId="3" numFmtId="0" xfId="0" applyAlignment="1" applyBorder="1" applyFill="1" applyFont="1">
      <alignment horizontal="left" vertical="center"/>
    </xf>
    <xf borderId="1" fillId="14" fontId="2" numFmtId="0" xfId="0" applyAlignment="1" applyBorder="1" applyFill="1" applyFont="1">
      <alignment horizontal="left" vertical="center"/>
    </xf>
    <xf borderId="1" fillId="14" fontId="23" numFmtId="0" xfId="0" applyAlignment="1" applyBorder="1" applyFill="1" applyFont="1">
      <alignment horizontal="left" vertical="center"/>
    </xf>
    <xf borderId="41" fillId="14" fontId="23" numFmtId="164" xfId="0" applyAlignment="1" applyBorder="1" applyFill="1" applyFont="1" applyNumberFormat="1">
      <alignment horizontal="center" vertical="center"/>
    </xf>
    <xf borderId="0" fillId="0" fontId="48" numFmtId="0" xfId="0" applyFont="1"/>
    <xf borderId="0" fillId="0" fontId="43" numFmtId="0" xfId="0" applyAlignment="1" applyFont="1">
      <alignment horizontal="right"/>
    </xf>
    <xf borderId="49" fillId="0" fontId="49" numFmtId="164" xfId="0" applyAlignment="1" applyBorder="1" applyFont="1" applyNumberFormat="1">
      <alignment horizontal="center" vertical="center"/>
    </xf>
    <xf borderId="0" fillId="0" fontId="43" numFmtId="164" xfId="0" applyFont="1" applyNumberFormat="1"/>
    <xf borderId="50" fillId="0" fontId="50" numFmtId="0" xfId="0" applyAlignment="1" applyBorder="1" applyFont="1">
      <alignment horizontal="center" shrinkToFit="0" vertical="center" wrapText="1"/>
    </xf>
    <xf borderId="50" fillId="0" fontId="8" numFmtId="0" xfId="0" applyBorder="1" applyFont="1"/>
    <xf borderId="0" fillId="0" fontId="50" numFmtId="0" xfId="0" applyAlignment="1" applyFont="1">
      <alignment horizontal="center" shrinkToFit="0" vertical="center" wrapText="1"/>
    </xf>
    <xf borderId="51" fillId="0" fontId="51" numFmtId="0" xfId="0" applyAlignment="1" applyBorder="1" applyFont="1">
      <alignment horizontal="center" vertical="center"/>
    </xf>
    <xf borderId="52" fillId="0" fontId="8" numFmtId="0" xfId="0" applyBorder="1" applyFont="1"/>
    <xf borderId="30" fillId="0" fontId="51" numFmtId="0" xfId="0" applyAlignment="1" applyBorder="1" applyFont="1">
      <alignment horizontal="center" vertical="center"/>
    </xf>
    <xf borderId="48" fillId="0" fontId="8" numFmtId="0" xfId="0" applyBorder="1" applyFont="1"/>
    <xf borderId="53" fillId="0" fontId="8" numFmtId="0" xfId="0" applyBorder="1" applyFont="1"/>
    <xf borderId="0" fillId="0" fontId="52" numFmtId="0" xfId="0" applyAlignment="1" applyFont="1">
      <alignment shrinkToFit="0" vertical="center" wrapText="1"/>
    </xf>
    <xf borderId="54" fillId="0" fontId="8" numFmtId="0" xfId="0" applyBorder="1" applyFont="1"/>
    <xf borderId="49" fillId="0" fontId="8" numFmtId="0" xfId="0" applyBorder="1" applyFont="1"/>
    <xf borderId="49" fillId="0" fontId="51" numFmtId="0" xfId="0" applyAlignment="1" applyBorder="1" applyFont="1">
      <alignment horizontal="center" shrinkToFit="0" vertical="center" wrapText="1"/>
    </xf>
    <xf borderId="55" fillId="0" fontId="51" numFmtId="0" xfId="0" applyAlignment="1" applyBorder="1" applyFont="1">
      <alignment horizontal="center" vertical="center"/>
    </xf>
    <xf borderId="50" fillId="0" fontId="53" numFmtId="0" xfId="0" applyAlignment="1" applyBorder="1" applyFont="1">
      <alignment horizontal="center" vertical="center"/>
    </xf>
    <xf borderId="24" fillId="14" fontId="51" numFmtId="164" xfId="0" applyAlignment="1" applyBorder="1" applyFill="1" applyFont="1" applyNumberFormat="1">
      <alignment horizontal="center" shrinkToFit="0" vertical="center" wrapText="1"/>
    </xf>
    <xf borderId="24" fillId="0" fontId="51" numFmtId="164" xfId="0" applyAlignment="1" applyBorder="1" applyFont="1" applyNumberFormat="1">
      <alignment horizontal="center" shrinkToFit="0" vertical="center" wrapText="1"/>
    </xf>
    <xf borderId="2" fillId="0" fontId="3" numFmtId="0" xfId="0" applyAlignment="1" applyBorder="1" applyFont="1">
      <alignment horizontal="right" vertical="center"/>
    </xf>
    <xf borderId="24" fillId="2" fontId="51" numFmtId="164" xfId="0" applyAlignment="1" applyBorder="1" applyFill="1" applyFont="1" applyNumberFormat="1">
      <alignment horizontal="center" shrinkToFit="0" vertical="center" wrapText="1"/>
    </xf>
    <xf borderId="56" fillId="0" fontId="3" numFmtId="0" xfId="0" applyAlignment="1" applyBorder="1" applyFont="1">
      <alignment horizontal="center" vertical="center"/>
    </xf>
    <xf borderId="57" fillId="0" fontId="8" numFmtId="0" xfId="0" applyBorder="1" applyFont="1"/>
    <xf borderId="50" fillId="0" fontId="51" numFmtId="0" xfId="0" applyAlignment="1" applyBorder="1" applyFont="1">
      <alignment horizontal="center" vertical="center"/>
    </xf>
    <xf borderId="24" fillId="0" fontId="51" numFmtId="2" xfId="0" applyAlignment="1" applyBorder="1" applyFont="1" applyNumberFormat="1">
      <alignment horizontal="center" shrinkToFit="0" vertical="center" wrapText="1"/>
    </xf>
    <xf borderId="58" fillId="0" fontId="3" numFmtId="0" xfId="0" applyAlignment="1" applyBorder="1" applyFont="1">
      <alignment horizontal="center" vertical="center"/>
    </xf>
    <xf borderId="24" fillId="0" fontId="51" numFmtId="169" xfId="0" applyAlignment="1" applyBorder="1" applyFont="1" applyNumberFormat="1">
      <alignment horizontal="center" shrinkToFit="0" vertical="center" wrapText="1"/>
    </xf>
    <xf borderId="24" fillId="2" fontId="51" numFmtId="2" xfId="0" applyAlignment="1" applyBorder="1" applyFill="1" applyFont="1" applyNumberFormat="1">
      <alignment horizontal="center" shrinkToFit="0" vertical="center" wrapText="1"/>
    </xf>
    <xf borderId="0" fillId="0" fontId="54" numFmtId="0" xfId="0" applyAlignment="1" applyFont="1">
      <alignment horizontal="center" vertical="center"/>
    </xf>
    <xf borderId="24" fillId="14" fontId="51" numFmtId="2" xfId="0" applyAlignment="1" applyBorder="1" applyFill="1" applyFont="1" applyNumberFormat="1">
      <alignment horizontal="center" shrinkToFit="0" vertical="center" wrapText="1"/>
    </xf>
    <xf borderId="41" fillId="0" fontId="23" numFmtId="164" xfId="0" applyAlignment="1" applyBorder="1" applyFont="1" applyNumberFormat="1">
      <alignment horizontal="center" vertical="center"/>
    </xf>
    <xf borderId="0" fillId="0" fontId="54" numFmtId="164" xfId="0" applyFont="1" applyNumberFormat="1"/>
    <xf borderId="24" fillId="0" fontId="51" numFmtId="1" xfId="0" applyAlignment="1" applyBorder="1" applyFont="1" applyNumberFormat="1">
      <alignment horizontal="center" shrinkToFit="0" vertical="center" wrapText="1"/>
    </xf>
    <xf borderId="41" fillId="0" fontId="23" numFmtId="1" xfId="0" applyAlignment="1" applyBorder="1" applyFont="1" applyNumberFormat="1">
      <alignment horizontal="center" vertical="center"/>
    </xf>
    <xf borderId="59" fillId="0" fontId="51" numFmtId="0" xfId="0" applyAlignment="1" applyBorder="1" applyFont="1">
      <alignment horizontal="center" vertical="center"/>
    </xf>
    <xf borderId="55" fillId="0" fontId="51" numFmtId="2" xfId="0" applyAlignment="1" applyBorder="1" applyFont="1" applyNumberFormat="1">
      <alignment horizontal="center" shrinkToFit="0" vertical="center" wrapText="1"/>
    </xf>
    <xf borderId="60" fillId="0" fontId="3" numFmtId="0" xfId="0" applyAlignment="1" applyBorder="1" applyFont="1">
      <alignment horizontal="center" vertical="center"/>
    </xf>
    <xf borderId="55" fillId="0" fontId="51" numFmtId="164" xfId="0" applyAlignment="1" applyBorder="1" applyFont="1" applyNumberFormat="1">
      <alignment horizontal="center" shrinkToFit="0" vertical="center" wrapText="1"/>
    </xf>
    <xf borderId="44" fillId="0" fontId="15" numFmtId="0" xfId="0" applyAlignment="1" applyBorder="1" applyFont="1">
      <alignment horizontal="left" vertical="center"/>
    </xf>
    <xf borderId="61" fillId="0" fontId="8" numFmtId="0" xfId="0" applyBorder="1" applyFont="1"/>
    <xf borderId="0" fillId="0" fontId="11" numFmtId="164" xfId="0" applyFont="1" applyNumberFormat="1"/>
    <xf borderId="15" fillId="2" fontId="3" numFmtId="0" xfId="0" applyAlignment="1" applyBorder="1" applyFill="1" applyFont="1">
      <alignment horizontal="right" vertical="center"/>
    </xf>
    <xf borderId="17" fillId="2" fontId="15" numFmtId="0" xfId="0" applyAlignment="1" applyBorder="1" applyFill="1" applyFont="1">
      <alignment horizontal="left" vertical="center"/>
    </xf>
    <xf borderId="17" fillId="2" fontId="3" numFmtId="164" xfId="0" applyAlignment="1" applyBorder="1" applyFill="1" applyFont="1" applyNumberFormat="1">
      <alignment horizontal="center" vertical="center"/>
    </xf>
    <xf borderId="16" fillId="2" fontId="3" numFmtId="164" xfId="0" applyAlignment="1" applyBorder="1" applyFill="1" applyFont="1" applyNumberFormat="1">
      <alignment horizontal="center" vertical="center"/>
    </xf>
    <xf borderId="19" fillId="2" fontId="3" numFmtId="0" xfId="0" applyAlignment="1" applyBorder="1" applyFill="1" applyFont="1">
      <alignment horizontal="right" vertical="center"/>
    </xf>
    <xf borderId="1" fillId="2" fontId="15" numFmtId="0" xfId="0" applyAlignment="1" applyBorder="1" applyFill="1" applyFont="1">
      <alignment horizontal="left" vertical="center"/>
    </xf>
    <xf borderId="0" fillId="0" fontId="11" numFmtId="164" xfId="0" applyAlignment="1" applyFont="1" applyNumberFormat="1">
      <alignment horizontal="center" vertical="center"/>
    </xf>
    <xf borderId="20" fillId="2" fontId="3" numFmtId="164" xfId="0" applyAlignment="1" applyBorder="1" applyFill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51" numFmtId="0" xfId="0" applyFont="1"/>
    <xf borderId="1" fillId="5" fontId="51" numFmtId="0" xfId="0" applyAlignment="1" applyBorder="1" applyFill="1" applyFont="1">
      <alignment horizontal="center" vertical="center"/>
    </xf>
    <xf borderId="0" fillId="0" fontId="51" numFmtId="164" xfId="0" applyAlignment="1" applyFont="1" applyNumberFormat="1">
      <alignment horizontal="center" vertical="center"/>
    </xf>
    <xf borderId="0" fillId="0" fontId="51" numFmtId="0" xfId="0" applyAlignment="1" applyFont="1">
      <alignment horizontal="center" vertical="center"/>
    </xf>
    <xf borderId="0" fillId="0" fontId="51" numFmtId="0" xfId="0" applyAlignment="1" applyFont="1">
      <alignment vertical="center"/>
    </xf>
    <xf borderId="0" fillId="0" fontId="53" numFmtId="0" xfId="0" applyFont="1"/>
    <xf borderId="1" fillId="5" fontId="51" numFmtId="1" xfId="0" applyAlignment="1" applyBorder="1" applyFill="1" applyFont="1" applyNumberFormat="1">
      <alignment horizontal="center" vertical="center"/>
    </xf>
    <xf borderId="0" fillId="0" fontId="55" numFmtId="0" xfId="0" applyAlignment="1" applyFont="1">
      <alignment horizontal="left" vertical="center"/>
    </xf>
    <xf borderId="0" fillId="0" fontId="56" numFmtId="0" xfId="0" applyAlignment="1" applyFont="1">
      <alignment horizontal="left" vertical="center"/>
    </xf>
    <xf borderId="0" fillId="0" fontId="51" numFmtId="0" xfId="0" applyAlignment="1" applyFont="1">
      <alignment horizontal="left" vertical="center"/>
    </xf>
    <xf borderId="0" fillId="0" fontId="51" numFmtId="1" xfId="0" applyAlignment="1" applyFont="1" applyNumberFormat="1">
      <alignment horizontal="center" vertical="center"/>
    </xf>
    <xf borderId="0" fillId="0" fontId="51" numFmtId="2" xfId="0" applyAlignment="1" applyFont="1" applyNumberFormat="1">
      <alignment vertical="center"/>
    </xf>
    <xf borderId="0" fillId="0" fontId="3" numFmtId="1" xfId="0" applyAlignment="1" applyFont="1" applyNumberFormat="1">
      <alignment horizontal="right" vertical="center"/>
    </xf>
    <xf borderId="1" fillId="2" fontId="51" numFmtId="2" xfId="0" applyAlignment="1" applyBorder="1" applyFill="1" applyFont="1" applyNumberFormat="1">
      <alignment vertical="center"/>
    </xf>
    <xf borderId="0" fillId="0" fontId="57" numFmtId="0" xfId="0" applyAlignment="1" applyFont="1">
      <alignment horizontal="center"/>
    </xf>
    <xf borderId="0" fillId="0" fontId="17" numFmtId="164" xfId="0" applyAlignment="1" applyFont="1" applyNumberFormat="1">
      <alignment horizontal="right" vertical="center"/>
    </xf>
    <xf borderId="1" fillId="2" fontId="55" numFmtId="0" xfId="0" applyBorder="1" applyFill="1" applyFont="1"/>
    <xf borderId="1" fillId="2" fontId="55" numFmtId="0" xfId="0" applyAlignment="1" applyBorder="1" applyFill="1" applyFont="1">
      <alignment horizontal="left"/>
    </xf>
    <xf borderId="1" fillId="2" fontId="55" numFmtId="0" xfId="0" applyAlignment="1" applyBorder="1" applyFill="1" applyFont="1">
      <alignment horizontal="center"/>
    </xf>
    <xf borderId="1" fillId="2" fontId="43" numFmtId="0" xfId="0" applyAlignment="1" applyBorder="1" applyFill="1" applyFont="1">
      <alignment horizontal="left"/>
    </xf>
    <xf borderId="1" fillId="2" fontId="43" numFmtId="0" xfId="0" applyBorder="1" applyFill="1" applyFont="1"/>
    <xf borderId="0" fillId="0" fontId="54" numFmtId="0" xfId="0" applyAlignment="1" applyFont="1">
      <alignment horizontal="left"/>
    </xf>
    <xf borderId="1" fillId="2" fontId="43" numFmtId="0" xfId="0" applyAlignment="1" applyBorder="1" applyFill="1" applyFont="1">
      <alignment horizontal="center"/>
    </xf>
    <xf borderId="1" fillId="2" fontId="6" numFmtId="164" xfId="0" applyAlignment="1" applyBorder="1" applyFill="1" applyFont="1" applyNumberFormat="1">
      <alignment horizontal="right" vertical="center"/>
    </xf>
    <xf borderId="1" fillId="2" fontId="6" numFmtId="0" xfId="0" applyAlignment="1" applyBorder="1" applyFill="1" applyFont="1">
      <alignment vertical="center"/>
    </xf>
    <xf borderId="1" fillId="2" fontId="6" numFmtId="0" xfId="0" applyBorder="1" applyFill="1" applyFont="1"/>
    <xf borderId="1" fillId="2" fontId="40" numFmtId="0" xfId="0" applyAlignment="1" applyBorder="1" applyFill="1" applyFont="1">
      <alignment horizontal="right" vertical="center"/>
    </xf>
    <xf borderId="1" fillId="2" fontId="40" numFmtId="0" xfId="0" applyAlignment="1" applyBorder="1" applyFill="1" applyFont="1">
      <alignment horizontal="center"/>
    </xf>
    <xf borderId="1" fillId="2" fontId="38" numFmtId="2" xfId="0" applyAlignment="1" applyBorder="1" applyFill="1" applyFont="1" applyNumberFormat="1">
      <alignment horizontal="left" vertical="center"/>
    </xf>
    <xf borderId="1" fillId="2" fontId="6" numFmtId="2" xfId="0" applyAlignment="1" applyBorder="1" applyFill="1" applyFont="1" applyNumberFormat="1">
      <alignment horizontal="center"/>
    </xf>
    <xf borderId="1" fillId="2" fontId="38" numFmtId="0" xfId="0" applyAlignment="1" applyBorder="1" applyFill="1" applyFont="1">
      <alignment horizontal="center" vertical="center"/>
    </xf>
    <xf borderId="1" fillId="2" fontId="58" numFmtId="0" xfId="0" applyAlignment="1" applyBorder="1" applyFill="1" applyFont="1">
      <alignment horizontal="left"/>
    </xf>
    <xf borderId="1" fillId="2" fontId="6" numFmtId="0" xfId="0" applyAlignment="1" applyBorder="1" applyFill="1" applyFont="1">
      <alignment horizontal="right"/>
    </xf>
    <xf borderId="1" fillId="2" fontId="6" numFmtId="0" xfId="0" applyAlignment="1" applyBorder="1" applyFill="1" applyFont="1">
      <alignment horizontal="right" vertical="top"/>
    </xf>
    <xf borderId="1" fillId="2" fontId="59" numFmtId="0" xfId="0" applyAlignment="1" applyBorder="1" applyFill="1" applyFont="1">
      <alignment horizontal="right"/>
    </xf>
    <xf borderId="1" fillId="2" fontId="6" numFmtId="169" xfId="0" applyAlignment="1" applyBorder="1" applyFill="1" applyFont="1" applyNumberFormat="1">
      <alignment horizontal="right" vertical="center"/>
    </xf>
    <xf borderId="1" fillId="2" fontId="60" numFmtId="0" xfId="0" applyBorder="1" applyFill="1" applyFont="1"/>
    <xf borderId="1" fillId="2" fontId="55" numFmtId="2" xfId="0" applyBorder="1" applyFill="1" applyFont="1" applyNumberFormat="1"/>
    <xf borderId="1" fillId="2" fontId="55" numFmtId="1" xfId="0" applyAlignment="1" applyBorder="1" applyFill="1" applyFont="1" applyNumberFormat="1">
      <alignment horizontal="left"/>
    </xf>
    <xf borderId="1" fillId="2" fontId="61" numFmtId="0" xfId="0" applyBorder="1" applyFill="1" applyFont="1"/>
    <xf borderId="1" fillId="2" fontId="6" numFmtId="0" xfId="0" applyAlignment="1" applyBorder="1" applyFill="1" applyFont="1">
      <alignment horizontal="left"/>
    </xf>
    <xf borderId="1" fillId="2" fontId="62" numFmtId="0" xfId="0" applyAlignment="1" applyBorder="1" applyFill="1" applyFont="1">
      <alignment horizontal="left" vertical="center"/>
    </xf>
    <xf borderId="1" fillId="14" fontId="11" numFmtId="0" xfId="0" applyAlignment="1" applyBorder="1" applyFill="1" applyFont="1">
      <alignment horizontal="center" vertical="center"/>
    </xf>
    <xf borderId="24" fillId="2" fontId="55" numFmtId="0" xfId="0" applyAlignment="1" applyBorder="1" applyFill="1" applyFont="1">
      <alignment horizontal="center" shrinkToFit="0" vertical="center" wrapText="1"/>
    </xf>
    <xf borderId="28" fillId="2" fontId="55" numFmtId="0" xfId="0" applyAlignment="1" applyBorder="1" applyFill="1" applyFont="1">
      <alignment horizontal="center" shrinkToFit="0" vertical="center" wrapText="1"/>
    </xf>
    <xf borderId="28" fillId="2" fontId="61" numFmtId="0" xfId="0" applyAlignment="1" applyBorder="1" applyFill="1" applyFont="1">
      <alignment horizontal="center" shrinkToFit="0" vertical="center" wrapText="1"/>
    </xf>
    <xf borderId="62" fillId="2" fontId="55" numFmtId="0" xfId="0" applyAlignment="1" applyBorder="1" applyFill="1" applyFont="1">
      <alignment horizontal="center" shrinkToFit="0" vertical="center" wrapText="1"/>
    </xf>
    <xf borderId="23" fillId="2" fontId="61" numFmtId="0" xfId="0" applyAlignment="1" applyBorder="1" applyFill="1" applyFont="1">
      <alignment horizontal="center" shrinkToFit="0" vertical="center" wrapText="1"/>
    </xf>
    <xf borderId="23" fillId="2" fontId="55" numFmtId="0" xfId="0" applyAlignment="1" applyBorder="1" applyFill="1" applyFont="1">
      <alignment horizontal="center" shrinkToFit="0" vertical="center" wrapText="1"/>
    </xf>
    <xf borderId="23" fillId="2" fontId="55" numFmtId="164" xfId="0" applyAlignment="1" applyBorder="1" applyFill="1" applyFont="1" applyNumberFormat="1">
      <alignment horizontal="center" shrinkToFit="0" vertical="center" wrapText="1"/>
    </xf>
    <xf borderId="23" fillId="2" fontId="55" numFmtId="169" xfId="0" applyAlignment="1" applyBorder="1" applyFill="1" applyFont="1" applyNumberFormat="1">
      <alignment horizontal="center" shrinkToFit="0" vertical="center" wrapText="1"/>
    </xf>
    <xf borderId="18" fillId="2" fontId="55" numFmtId="0" xfId="0" applyAlignment="1" applyBorder="1" applyFill="1" applyFont="1">
      <alignment horizontal="center" shrinkToFit="0" vertical="center" wrapText="1"/>
    </xf>
    <xf borderId="23" fillId="2" fontId="55" numFmtId="1" xfId="0" applyAlignment="1" applyBorder="1" applyFill="1" applyFont="1" applyNumberFormat="1">
      <alignment horizontal="center" shrinkToFit="0" vertical="center" wrapText="1"/>
    </xf>
    <xf borderId="1" fillId="2" fontId="55" numFmtId="1" xfId="0" applyBorder="1" applyFill="1" applyFont="1" applyNumberFormat="1"/>
    <xf borderId="24" fillId="2" fontId="55" numFmtId="0" xfId="0" applyAlignment="1" applyBorder="1" applyFill="1" applyFont="1">
      <alignment horizontal="center" vertical="center"/>
    </xf>
    <xf borderId="24" fillId="2" fontId="43" numFmtId="0" xfId="0" applyAlignment="1" applyBorder="1" applyFill="1" applyFont="1">
      <alignment horizontal="center" shrinkToFit="0" vertical="center" wrapText="1"/>
    </xf>
    <xf borderId="28" fillId="2" fontId="43" numFmtId="0" xfId="0" applyAlignment="1" applyBorder="1" applyFill="1" applyFont="1">
      <alignment horizontal="center" shrinkToFit="0" vertical="center" wrapText="1"/>
    </xf>
    <xf borderId="42" fillId="2" fontId="55" numFmtId="0" xfId="0" applyAlignment="1" applyBorder="1" applyFill="1" applyFont="1">
      <alignment horizontal="center"/>
    </xf>
    <xf borderId="44" fillId="0" fontId="8" numFmtId="0" xfId="0" applyBorder="1" applyFont="1"/>
    <xf borderId="24" fillId="2" fontId="55" numFmtId="0" xfId="0" applyBorder="1" applyFill="1" applyFont="1"/>
    <xf borderId="18" fillId="2" fontId="43" numFmtId="2" xfId="0" applyAlignment="1" applyBorder="1" applyFill="1" applyFont="1" applyNumberFormat="1">
      <alignment shrinkToFit="0" vertical="center" wrapText="1"/>
    </xf>
    <xf borderId="23" fillId="2" fontId="43" numFmtId="2" xfId="0" applyAlignment="1" applyBorder="1" applyFill="1" applyFont="1" applyNumberFormat="1">
      <alignment shrinkToFit="0" vertical="center" wrapText="1"/>
    </xf>
    <xf borderId="23" fillId="2" fontId="43" numFmtId="1" xfId="0" applyAlignment="1" applyBorder="1" applyFill="1" applyFont="1" applyNumberFormat="1">
      <alignment shrinkToFit="0" vertical="center" wrapText="1"/>
    </xf>
    <xf borderId="42" fillId="2" fontId="55" numFmtId="2" xfId="0" applyAlignment="1" applyBorder="1" applyFill="1" applyFont="1" applyNumberFormat="1">
      <alignment horizontal="center"/>
    </xf>
    <xf borderId="41" fillId="2" fontId="55" numFmtId="2" xfId="0" applyBorder="1" applyFill="1" applyFont="1" applyNumberFormat="1"/>
    <xf borderId="41" fillId="2" fontId="55" numFmtId="1" xfId="0" applyBorder="1" applyFill="1" applyFont="1" applyNumberFormat="1"/>
    <xf borderId="18" fillId="2" fontId="43" numFmtId="0" xfId="0" applyAlignment="1" applyBorder="1" applyFill="1" applyFont="1">
      <alignment shrinkToFit="0" vertical="center" wrapText="1"/>
    </xf>
    <xf borderId="23" fillId="2" fontId="43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Relationship Id="rId2" Type="http://schemas.openxmlformats.org/officeDocument/2006/relationships/image" Target="../media/image14.png"/><Relationship Id="rId3" Type="http://schemas.openxmlformats.org/officeDocument/2006/relationships/image" Target="../media/image19.png"/><Relationship Id="rId4" Type="http://schemas.openxmlformats.org/officeDocument/2006/relationships/image" Target="../media/image1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Relationship Id="rId2" Type="http://schemas.openxmlformats.org/officeDocument/2006/relationships/image" Target="../media/image14.png"/><Relationship Id="rId3" Type="http://schemas.openxmlformats.org/officeDocument/2006/relationships/image" Target="../media/image19.png"/></Relationships>
</file>

<file path=xl/drawings/_rels/vmlDrawing1.vml.rels><?xml version="1.0" encoding="UTF-8" standalone="yes"?><Relationships xmlns="http://schemas.openxmlformats.org/package/2006/relationships"><Relationship Id="rId20" Type="http://schemas.openxmlformats.org/officeDocument/2006/relationships/image" Target="../media/image8.png"/><Relationship Id="rId22" Type="http://schemas.openxmlformats.org/officeDocument/2006/relationships/image" Target="../media/image28.png"/><Relationship Id="rId21" Type="http://schemas.openxmlformats.org/officeDocument/2006/relationships/image" Target="../media/image10.png"/><Relationship Id="rId24" Type="http://schemas.openxmlformats.org/officeDocument/2006/relationships/image" Target="../media/image31.png"/><Relationship Id="rId23" Type="http://schemas.openxmlformats.org/officeDocument/2006/relationships/image" Target="../media/image51.png"/><Relationship Id="rId1" Type="http://schemas.openxmlformats.org/officeDocument/2006/relationships/image" Target="../media/image23.png"/><Relationship Id="rId2" Type="http://schemas.openxmlformats.org/officeDocument/2006/relationships/image" Target="../media/image2.png"/><Relationship Id="rId3" Type="http://schemas.openxmlformats.org/officeDocument/2006/relationships/image" Target="../media/image13.png"/><Relationship Id="rId4" Type="http://schemas.openxmlformats.org/officeDocument/2006/relationships/image" Target="../media/image16.png"/><Relationship Id="rId9" Type="http://schemas.openxmlformats.org/officeDocument/2006/relationships/image" Target="../media/image57.png"/><Relationship Id="rId26" Type="http://schemas.openxmlformats.org/officeDocument/2006/relationships/image" Target="../media/image26.png"/><Relationship Id="rId25" Type="http://schemas.openxmlformats.org/officeDocument/2006/relationships/image" Target="../media/image21.png"/><Relationship Id="rId28" Type="http://schemas.openxmlformats.org/officeDocument/2006/relationships/image" Target="../media/image1.png"/><Relationship Id="rId27" Type="http://schemas.openxmlformats.org/officeDocument/2006/relationships/image" Target="../media/image3.png"/><Relationship Id="rId5" Type="http://schemas.openxmlformats.org/officeDocument/2006/relationships/image" Target="../media/image42.png"/><Relationship Id="rId6" Type="http://schemas.openxmlformats.org/officeDocument/2006/relationships/image" Target="../media/image12.png"/><Relationship Id="rId7" Type="http://schemas.openxmlformats.org/officeDocument/2006/relationships/image" Target="../media/image6.png"/><Relationship Id="rId8" Type="http://schemas.openxmlformats.org/officeDocument/2006/relationships/image" Target="../media/image17.png"/><Relationship Id="rId11" Type="http://schemas.openxmlformats.org/officeDocument/2006/relationships/image" Target="../media/image54.png"/><Relationship Id="rId10" Type="http://schemas.openxmlformats.org/officeDocument/2006/relationships/image" Target="../media/image4.png"/><Relationship Id="rId13" Type="http://schemas.openxmlformats.org/officeDocument/2006/relationships/image" Target="../media/image15.png"/><Relationship Id="rId12" Type="http://schemas.openxmlformats.org/officeDocument/2006/relationships/image" Target="../media/image41.png"/><Relationship Id="rId15" Type="http://schemas.openxmlformats.org/officeDocument/2006/relationships/image" Target="../media/image10.png"/><Relationship Id="rId14" Type="http://schemas.openxmlformats.org/officeDocument/2006/relationships/image" Target="../media/image8.png"/><Relationship Id="rId17" Type="http://schemas.openxmlformats.org/officeDocument/2006/relationships/image" Target="../media/image30.png"/><Relationship Id="rId16" Type="http://schemas.openxmlformats.org/officeDocument/2006/relationships/image" Target="../media/image4.png"/><Relationship Id="rId19" Type="http://schemas.openxmlformats.org/officeDocument/2006/relationships/image" Target="../media/image15.png"/><Relationship Id="rId18" Type="http://schemas.openxmlformats.org/officeDocument/2006/relationships/image" Target="../media/image41.png"/></Relationships>
</file>

<file path=xl/drawings/_rels/vmlDrawing2.vml.rels><?xml version="1.0" encoding="UTF-8" standalone="yes"?><Relationships xmlns="http://schemas.openxmlformats.org/package/2006/relationships"><Relationship Id="rId20" Type="http://schemas.openxmlformats.org/officeDocument/2006/relationships/image" Target="../media/image20.png"/><Relationship Id="rId22" Type="http://schemas.openxmlformats.org/officeDocument/2006/relationships/image" Target="../media/image47.png"/><Relationship Id="rId21" Type="http://schemas.openxmlformats.org/officeDocument/2006/relationships/image" Target="../media/image9.png"/><Relationship Id="rId1" Type="http://schemas.openxmlformats.org/officeDocument/2006/relationships/image" Target="../media/image37.png"/><Relationship Id="rId2" Type="http://schemas.openxmlformats.org/officeDocument/2006/relationships/image" Target="../media/image36.png"/><Relationship Id="rId3" Type="http://schemas.openxmlformats.org/officeDocument/2006/relationships/image" Target="../media/image40.png"/><Relationship Id="rId4" Type="http://schemas.openxmlformats.org/officeDocument/2006/relationships/image" Target="../media/image38.png"/><Relationship Id="rId9" Type="http://schemas.openxmlformats.org/officeDocument/2006/relationships/image" Target="../media/image43.png"/><Relationship Id="rId5" Type="http://schemas.openxmlformats.org/officeDocument/2006/relationships/image" Target="../media/image49.png"/><Relationship Id="rId6" Type="http://schemas.openxmlformats.org/officeDocument/2006/relationships/image" Target="../media/image27.png"/><Relationship Id="rId7" Type="http://schemas.openxmlformats.org/officeDocument/2006/relationships/image" Target="../media/image56.png"/><Relationship Id="rId8" Type="http://schemas.openxmlformats.org/officeDocument/2006/relationships/image" Target="../media/image5.png"/><Relationship Id="rId11" Type="http://schemas.openxmlformats.org/officeDocument/2006/relationships/image" Target="../media/image7.png"/><Relationship Id="rId10" Type="http://schemas.openxmlformats.org/officeDocument/2006/relationships/image" Target="../media/image35.png"/><Relationship Id="rId13" Type="http://schemas.openxmlformats.org/officeDocument/2006/relationships/image" Target="../media/image33.png"/><Relationship Id="rId12" Type="http://schemas.openxmlformats.org/officeDocument/2006/relationships/image" Target="../media/image22.png"/><Relationship Id="rId15" Type="http://schemas.openxmlformats.org/officeDocument/2006/relationships/image" Target="../media/image18.png"/><Relationship Id="rId14" Type="http://schemas.openxmlformats.org/officeDocument/2006/relationships/image" Target="../media/image46.png"/><Relationship Id="rId17" Type="http://schemas.openxmlformats.org/officeDocument/2006/relationships/image" Target="../media/image52.png"/><Relationship Id="rId16" Type="http://schemas.openxmlformats.org/officeDocument/2006/relationships/image" Target="../media/image53.png"/><Relationship Id="rId19" Type="http://schemas.openxmlformats.org/officeDocument/2006/relationships/image" Target="../media/image25.png"/><Relationship Id="rId18" Type="http://schemas.openxmlformats.org/officeDocument/2006/relationships/image" Target="../media/image34.png"/></Relationships>
</file>

<file path=xl/drawings/_rels/vmlDrawing3.vml.rels><?xml version="1.0" encoding="UTF-8" standalone="yes"?><Relationships xmlns="http://schemas.openxmlformats.org/package/2006/relationships"><Relationship Id="rId1" Type="http://schemas.openxmlformats.org/officeDocument/2006/relationships/image" Target="../media/image48.png"/><Relationship Id="rId2" Type="http://schemas.openxmlformats.org/officeDocument/2006/relationships/image" Target="../media/image29.png"/><Relationship Id="rId3" Type="http://schemas.openxmlformats.org/officeDocument/2006/relationships/image" Target="../media/image39.png"/></Relationships>
</file>

<file path=xl/drawings/_rels/vmlDrawing4.vml.rels><?xml version="1.0" encoding="UTF-8" standalone="yes"?><Relationships xmlns="http://schemas.openxmlformats.org/package/2006/relationships"><Relationship Id="rId1" Type="http://schemas.openxmlformats.org/officeDocument/2006/relationships/image" Target="../media/image62.png"/><Relationship Id="rId2" Type="http://schemas.openxmlformats.org/officeDocument/2006/relationships/image" Target="../media/image60.png"/><Relationship Id="rId3" Type="http://schemas.openxmlformats.org/officeDocument/2006/relationships/image" Target="../media/image50.png"/><Relationship Id="rId4" Type="http://schemas.openxmlformats.org/officeDocument/2006/relationships/image" Target="../media/image32.png"/><Relationship Id="rId9" Type="http://schemas.openxmlformats.org/officeDocument/2006/relationships/image" Target="../media/image45.png"/><Relationship Id="rId5" Type="http://schemas.openxmlformats.org/officeDocument/2006/relationships/image" Target="../media/image59.png"/><Relationship Id="rId6" Type="http://schemas.openxmlformats.org/officeDocument/2006/relationships/image" Target="../media/image61.png"/><Relationship Id="rId7" Type="http://schemas.openxmlformats.org/officeDocument/2006/relationships/image" Target="../media/image58.png"/><Relationship Id="rId8" Type="http://schemas.openxmlformats.org/officeDocument/2006/relationships/image" Target="../media/image44.png"/><Relationship Id="rId10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57150</xdr:colOff>
      <xdr:row>79</xdr:row>
      <xdr:rowOff>152400</xdr:rowOff>
    </xdr:from>
    <xdr:ext cx="1219200" cy="266700"/>
    <xdr:sp>
      <xdr:nvSpPr>
        <xdr:cNvPr id="3" name="Shape 3"/>
        <xdr:cNvSpPr txBox="1"/>
      </xdr:nvSpPr>
      <xdr:spPr>
        <a:xfrm>
          <a:off x="4737972" y="3647720"/>
          <a:ext cx="1216057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104775</xdr:colOff>
      <xdr:row>127</xdr:row>
      <xdr:rowOff>0</xdr:rowOff>
    </xdr:from>
    <xdr:ext cx="1447800" cy="400050"/>
    <xdr:pic>
      <xdr:nvPicPr>
        <xdr:cNvPr id="0" name="image2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130</xdr:row>
      <xdr:rowOff>152400</xdr:rowOff>
    </xdr:from>
    <xdr:ext cx="3657600" cy="419100"/>
    <xdr:pic>
      <xdr:nvPicPr>
        <xdr:cNvPr id="0" name="image1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133</xdr:row>
      <xdr:rowOff>19050</xdr:rowOff>
    </xdr:from>
    <xdr:ext cx="1247775" cy="561975"/>
    <xdr:pic>
      <xdr:nvPicPr>
        <xdr:cNvPr id="0" name="image1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137</xdr:row>
      <xdr:rowOff>9525</xdr:rowOff>
    </xdr:from>
    <xdr:ext cx="2305050" cy="561975"/>
    <xdr:pic>
      <xdr:nvPicPr>
        <xdr:cNvPr id="0" name="image1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104775</xdr:colOff>
      <xdr:row>75</xdr:row>
      <xdr:rowOff>0</xdr:rowOff>
    </xdr:from>
    <xdr:ext cx="1533525" cy="361950"/>
    <xdr:pic>
      <xdr:nvPicPr>
        <xdr:cNvPr id="0" name="image2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78</xdr:row>
      <xdr:rowOff>152400</xdr:rowOff>
    </xdr:from>
    <xdr:ext cx="4133850" cy="381000"/>
    <xdr:pic>
      <xdr:nvPicPr>
        <xdr:cNvPr id="0" name="image1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81</xdr:row>
      <xdr:rowOff>19050</xdr:rowOff>
    </xdr:from>
    <xdr:ext cx="1333500" cy="504825"/>
    <xdr:pic>
      <xdr:nvPicPr>
        <xdr:cNvPr id="0" name="image1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oleObject" Target="../embeddings/oleObject30.bin"/><Relationship Id="rId22" Type="http://schemas.openxmlformats.org/officeDocument/2006/relationships/oleObject" Target="../embeddings/oleObject35.bin"/><Relationship Id="rId21" Type="http://schemas.openxmlformats.org/officeDocument/2006/relationships/oleObject" Target="../embeddings/oleObject34.bin"/><Relationship Id="rId24" Type="http://schemas.openxmlformats.org/officeDocument/2006/relationships/oleObject" Target="../embeddings/oleObject37.bin"/><Relationship Id="rId23" Type="http://schemas.openxmlformats.org/officeDocument/2006/relationships/oleObject" Target="../embeddings/oleObject36.bin"/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1.vml"/><Relationship Id="rId3" Type="http://schemas.openxmlformats.org/officeDocument/2006/relationships/oleObject" Target="../embeddings/oleObject1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12.bin"/><Relationship Id="rId26" Type="http://schemas.openxmlformats.org/officeDocument/2006/relationships/oleObject" Target="../embeddings/oleObject41.bin"/><Relationship Id="rId25" Type="http://schemas.openxmlformats.org/officeDocument/2006/relationships/oleObject" Target="../embeddings/oleObject39.bin"/><Relationship Id="rId28" Type="http://schemas.openxmlformats.org/officeDocument/2006/relationships/oleObject" Target="../embeddings/oleObject45.bin"/><Relationship Id="rId27" Type="http://schemas.openxmlformats.org/officeDocument/2006/relationships/oleObject" Target="../embeddings/oleObject43.bin"/><Relationship Id="rId5" Type="http://schemas.openxmlformats.org/officeDocument/2006/relationships/oleObject" Target="../embeddings/oleObject4.bin"/><Relationship Id="rId6" Type="http://schemas.openxmlformats.org/officeDocument/2006/relationships/oleObject" Target="../embeddings/oleObject6.bin"/><Relationship Id="rId29" Type="http://schemas.openxmlformats.org/officeDocument/2006/relationships/oleObject" Target="../embeddings/oleObject47.bin"/><Relationship Id="rId7" Type="http://schemas.openxmlformats.org/officeDocument/2006/relationships/oleObject" Target="../embeddings/oleObject8.bin"/><Relationship Id="rId8" Type="http://schemas.openxmlformats.org/officeDocument/2006/relationships/oleObject" Target="../embeddings/oleObject10.bin"/><Relationship Id="rId30" Type="http://schemas.openxmlformats.org/officeDocument/2006/relationships/oleObject" Target="../embeddings/oleObject48.bin"/><Relationship Id="rId11" Type="http://schemas.openxmlformats.org/officeDocument/2006/relationships/oleObject" Target="../embeddings/oleObject16.bin"/><Relationship Id="rId10" Type="http://schemas.openxmlformats.org/officeDocument/2006/relationships/oleObject" Target="../embeddings/oleObject14.bin"/><Relationship Id="rId13" Type="http://schemas.openxmlformats.org/officeDocument/2006/relationships/oleObject" Target="../embeddings/oleObject23.bin"/><Relationship Id="rId12" Type="http://schemas.openxmlformats.org/officeDocument/2006/relationships/oleObject" Target="../embeddings/oleObject17.bin"/><Relationship Id="rId15" Type="http://schemas.openxmlformats.org/officeDocument/2006/relationships/oleObject" Target="../embeddings/oleObject25.bin"/><Relationship Id="rId14" Type="http://schemas.openxmlformats.org/officeDocument/2006/relationships/oleObject" Target="../embeddings/oleObject24.bin"/><Relationship Id="rId17" Type="http://schemas.openxmlformats.org/officeDocument/2006/relationships/oleObject" Target="../embeddings/oleObject27.bin"/><Relationship Id="rId16" Type="http://schemas.openxmlformats.org/officeDocument/2006/relationships/oleObject" Target="../embeddings/oleObject26.bin"/><Relationship Id="rId19" Type="http://schemas.openxmlformats.org/officeDocument/2006/relationships/oleObject" Target="../embeddings/oleObject29.bin"/><Relationship Id="rId18" Type="http://schemas.openxmlformats.org/officeDocument/2006/relationships/oleObject" Target="../embeddings/oleObject28.bin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oleObject" Target="../embeddings/oleObject59.bin"/><Relationship Id="rId22" Type="http://schemas.openxmlformats.org/officeDocument/2006/relationships/oleObject" Target="../embeddings/oleObject61.bin"/><Relationship Id="rId21" Type="http://schemas.openxmlformats.org/officeDocument/2006/relationships/oleObject" Target="../embeddings/oleObject60.bin"/><Relationship Id="rId24" Type="http://schemas.openxmlformats.org/officeDocument/2006/relationships/oleObject" Target="../embeddings/oleObject63.bin"/><Relationship Id="rId23" Type="http://schemas.openxmlformats.org/officeDocument/2006/relationships/oleObject" Target="../embeddings/oleObject62.bin"/><Relationship Id="rId1" Type="http://schemas.openxmlformats.org/officeDocument/2006/relationships/drawing" Target="../drawings/drawing4.xml"/><Relationship Id="rId2" Type="http://schemas.openxmlformats.org/officeDocument/2006/relationships/vmlDrawing" Target="../drawings/vmlDrawing2.vml"/><Relationship Id="rId3" Type="http://schemas.openxmlformats.org/officeDocument/2006/relationships/oleObject" Target="../embeddings/oleObject3.bin"/><Relationship Id="rId4" Type="http://schemas.openxmlformats.org/officeDocument/2006/relationships/oleObject" Target="../embeddings/oleObject5.bin"/><Relationship Id="rId9" Type="http://schemas.openxmlformats.org/officeDocument/2006/relationships/oleObject" Target="../embeddings/oleObject15.bin"/><Relationship Id="rId5" Type="http://schemas.openxmlformats.org/officeDocument/2006/relationships/oleObject" Target="../embeddings/oleObject7.bin"/><Relationship Id="rId6" Type="http://schemas.openxmlformats.org/officeDocument/2006/relationships/oleObject" Target="../embeddings/oleObject9.bin"/><Relationship Id="rId7" Type="http://schemas.openxmlformats.org/officeDocument/2006/relationships/oleObject" Target="../embeddings/oleObject11.bin"/><Relationship Id="rId8" Type="http://schemas.openxmlformats.org/officeDocument/2006/relationships/oleObject" Target="../embeddings/oleObject13.bin"/><Relationship Id="rId11" Type="http://schemas.openxmlformats.org/officeDocument/2006/relationships/oleObject" Target="../embeddings/oleObject19.bin"/><Relationship Id="rId10" Type="http://schemas.openxmlformats.org/officeDocument/2006/relationships/oleObject" Target="../embeddings/oleObject18.bin"/><Relationship Id="rId13" Type="http://schemas.openxmlformats.org/officeDocument/2006/relationships/oleObject" Target="../embeddings/oleObject21.bin"/><Relationship Id="rId12" Type="http://schemas.openxmlformats.org/officeDocument/2006/relationships/oleObject" Target="../embeddings/oleObject20.bin"/><Relationship Id="rId15" Type="http://schemas.openxmlformats.org/officeDocument/2006/relationships/oleObject" Target="../embeddings/oleObject54.bin"/><Relationship Id="rId14" Type="http://schemas.openxmlformats.org/officeDocument/2006/relationships/oleObject" Target="../embeddings/oleObject22.bin"/><Relationship Id="rId17" Type="http://schemas.openxmlformats.org/officeDocument/2006/relationships/oleObject" Target="../embeddings/oleObject56.bin"/><Relationship Id="rId16" Type="http://schemas.openxmlformats.org/officeDocument/2006/relationships/oleObject" Target="../embeddings/oleObject55.bin"/><Relationship Id="rId19" Type="http://schemas.openxmlformats.org/officeDocument/2006/relationships/oleObject" Target="../embeddings/oleObject58.bin"/><Relationship Id="rId18" Type="http://schemas.openxmlformats.org/officeDocument/2006/relationships/oleObject" Target="../embeddings/oleObject57.bin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vmlDrawing" Target="../drawings/vmlDrawing3.vml"/><Relationship Id="rId3" Type="http://schemas.openxmlformats.org/officeDocument/2006/relationships/oleObject" Target="../embeddings/oleObject51.bin"/><Relationship Id="rId4" Type="http://schemas.openxmlformats.org/officeDocument/2006/relationships/oleObject" Target="../embeddings/oleObject52.bin"/><Relationship Id="rId5" Type="http://schemas.openxmlformats.org/officeDocument/2006/relationships/oleObject" Target="../embeddings/oleObject53.bin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vmlDrawing" Target="../drawings/vmlDrawing4.vml"/><Relationship Id="rId3" Type="http://schemas.openxmlformats.org/officeDocument/2006/relationships/oleObject" Target="../embeddings/oleObject31.bin"/><Relationship Id="rId4" Type="http://schemas.openxmlformats.org/officeDocument/2006/relationships/oleObject" Target="../embeddings/oleObject32.bin"/><Relationship Id="rId9" Type="http://schemas.openxmlformats.org/officeDocument/2006/relationships/oleObject" Target="../embeddings/oleObject44.bin"/><Relationship Id="rId5" Type="http://schemas.openxmlformats.org/officeDocument/2006/relationships/oleObject" Target="../embeddings/oleObject33.bin"/><Relationship Id="rId6" Type="http://schemas.openxmlformats.org/officeDocument/2006/relationships/oleObject" Target="../embeddings/oleObject38.bin"/><Relationship Id="rId7" Type="http://schemas.openxmlformats.org/officeDocument/2006/relationships/oleObject" Target="../embeddings/oleObject40.bin"/><Relationship Id="rId8" Type="http://schemas.openxmlformats.org/officeDocument/2006/relationships/oleObject" Target="../embeddings/oleObject42.bin"/><Relationship Id="rId11" Type="http://schemas.openxmlformats.org/officeDocument/2006/relationships/oleObject" Target="../embeddings/oleObject49.bin"/><Relationship Id="rId10" Type="http://schemas.openxmlformats.org/officeDocument/2006/relationships/oleObject" Target="../embeddings/oleObject46.bin"/><Relationship Id="rId12" Type="http://schemas.openxmlformats.org/officeDocument/2006/relationships/oleObject" Target="../embeddings/oleObject50.bin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.38"/>
    <col customWidth="1" min="2" max="2" width="2.5"/>
    <col customWidth="1" min="3" max="3" width="2.63"/>
    <col customWidth="1" min="4" max="5" width="9.13"/>
    <col customWidth="1" min="6" max="6" width="29.5"/>
    <col customWidth="1" min="7" max="7" width="9.5"/>
    <col customWidth="1" min="8" max="41" width="9.13"/>
  </cols>
  <sheetData>
    <row r="1" ht="17.25" customHeight="1">
      <c r="A1" s="1"/>
      <c r="B1" s="2"/>
      <c r="C1" s="3"/>
      <c r="D1" s="3"/>
      <c r="E1" s="5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ht="17.25" customHeight="1">
      <c r="A2" s="8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ht="17.25" customHeight="1">
      <c r="A3" s="8"/>
      <c r="B3" s="2" t="s">
        <v>8</v>
      </c>
      <c r="C3" s="3"/>
      <c r="D3" s="3"/>
      <c r="E3" s="3"/>
      <c r="F3" s="3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ht="17.25" customHeight="1">
      <c r="A4" s="8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ht="17.25" customHeight="1">
      <c r="A5" s="8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ht="17.2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ht="17.25" customHeight="1">
      <c r="A7" s="8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ht="17.25" customHeight="1">
      <c r="A8" s="8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ht="17.25" customHeight="1">
      <c r="A9" s="8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ht="17.25" customHeight="1">
      <c r="A10" s="8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ht="17.25" customHeight="1">
      <c r="A11" s="8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ht="17.25" customHeight="1">
      <c r="A12" s="8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ht="17.25" customHeight="1">
      <c r="A13" s="8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ht="17.25" customHeight="1">
      <c r="A14" s="8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ht="17.25" customHeight="1">
      <c r="A15" s="8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ht="17.25" customHeight="1">
      <c r="A16" s="8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ht="17.25" customHeight="1">
      <c r="A17" s="8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ht="17.25" customHeight="1">
      <c r="A18" s="8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ht="17.25" customHeight="1">
      <c r="A19" s="8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ht="17.25" customHeight="1">
      <c r="A20" s="8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ht="17.25" customHeight="1">
      <c r="A21" s="8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ht="17.25" customHeight="1">
      <c r="A22" s="8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ht="17.25" customHeight="1">
      <c r="A23" s="8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ht="17.25" customHeight="1">
      <c r="A24" s="8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ht="17.25" customHeight="1">
      <c r="A25" s="8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ht="17.25" customHeight="1">
      <c r="A26" s="8"/>
      <c r="B26" s="2" t="s">
        <v>125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ht="17.25" customHeight="1">
      <c r="A27" s="8"/>
      <c r="B27" s="2"/>
      <c r="C27" s="3" t="s">
        <v>130</v>
      </c>
      <c r="D27" s="3"/>
      <c r="E27" s="3"/>
      <c r="F27" s="3"/>
      <c r="G27" s="3"/>
      <c r="H27" s="105">
        <f>'Nhập dữ liệu'!B13</f>
        <v>2.6</v>
      </c>
      <c r="I27" s="3" t="s">
        <v>133</v>
      </c>
      <c r="J27" s="3" t="s">
        <v>134</v>
      </c>
      <c r="K27" s="105">
        <f>'Nhập dữ liệu'!C13</f>
        <v>5.4</v>
      </c>
      <c r="L27" s="3" t="s">
        <v>133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ht="17.25" customHeight="1">
      <c r="A28" s="8"/>
      <c r="B28" s="2"/>
      <c r="C28" s="3" t="s">
        <v>142</v>
      </c>
      <c r="D28" s="3"/>
      <c r="E28" s="3"/>
      <c r="F28" s="3"/>
      <c r="G28" s="105" t="s">
        <v>143</v>
      </c>
      <c r="H28" s="105">
        <f>'Nhập dữ liệu'!D19/1000</f>
        <v>0.34</v>
      </c>
      <c r="I28" s="3" t="s">
        <v>133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ht="17.25" customHeight="1">
      <c r="A29" s="8"/>
      <c r="B29" s="2"/>
      <c r="C29" s="3" t="s">
        <v>147</v>
      </c>
      <c r="D29" s="3"/>
      <c r="E29" s="3"/>
      <c r="F29" s="3"/>
      <c r="G29" s="3"/>
      <c r="H29" s="3">
        <f>'Nhập dữ liệu'!D13/1000</f>
        <v>0.4</v>
      </c>
      <c r="I29" s="109">
        <f>'Nhập dữ liệu'!E13/1000</f>
        <v>0.4</v>
      </c>
      <c r="J29" s="3" t="s">
        <v>42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ht="17.25" customHeight="1">
      <c r="A30" s="8"/>
      <c r="B30" s="2" t="s">
        <v>150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ht="17.25" customHeight="1">
      <c r="A31" s="8"/>
      <c r="B31" s="2"/>
      <c r="C31" s="3" t="s">
        <v>159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ht="17.25" customHeight="1">
      <c r="A32" s="8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ht="17.25" customHeight="1">
      <c r="A33" s="8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ht="17.25" customHeight="1">
      <c r="A34" s="8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ht="17.25" customHeight="1">
      <c r="A35" s="8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ht="17.25" customHeight="1">
      <c r="A36" s="8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ht="17.25" customHeight="1">
      <c r="A37" s="8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ht="17.25" customHeight="1">
      <c r="A38" s="8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ht="17.25" customHeight="1">
      <c r="A39" s="8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ht="17.25" customHeight="1">
      <c r="A40" s="8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ht="17.25" customHeight="1">
      <c r="A41" s="8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ht="17.25" customHeight="1">
      <c r="A42" s="8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ht="17.25" customHeight="1">
      <c r="A43" s="8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ht="17.25" customHeight="1">
      <c r="A44" s="8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ht="17.25" customHeight="1">
      <c r="A45" s="8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ht="17.25" customHeight="1">
      <c r="A46" s="8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ht="17.25" customHeight="1">
      <c r="A47" s="8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ht="17.25" customHeight="1">
      <c r="A48" s="8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ht="17.25" customHeight="1">
      <c r="A49" s="8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ht="17.25" customHeight="1">
      <c r="A50" s="8"/>
      <c r="B50" s="2" t="s">
        <v>204</v>
      </c>
      <c r="C50" s="2" t="s">
        <v>205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ht="17.25" customHeight="1">
      <c r="A51" s="8"/>
      <c r="B51" s="2"/>
      <c r="C51" s="165" t="s">
        <v>206</v>
      </c>
      <c r="D51" s="3"/>
      <c r="E51" s="3"/>
      <c r="F51" s="3"/>
      <c r="G51" s="109">
        <f>'Nhập dữ liệu'!J13</f>
        <v>20</v>
      </c>
      <c r="H51" s="3" t="s">
        <v>207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ht="17.25" customHeight="1">
      <c r="A52" s="8"/>
      <c r="B52" s="2"/>
      <c r="C52" s="3"/>
      <c r="D52" s="37" t="s">
        <v>208</v>
      </c>
      <c r="E52" s="3">
        <f>IF(G51=12.5,7.5,IF(G51=15,8.5,IF(G51=20,11.5,IF(G51=25,14.5,IF(G51=30,17,IF(G51=35,19.5,IF(G51=40,22,IF(G51=45,25,IF(G51=50,27.5,IF(G51=55,30,IF(G51=60,33,"nhập giá trị vào")))))))))))</f>
        <v>11.5</v>
      </c>
      <c r="F52" s="3" t="s">
        <v>209</v>
      </c>
      <c r="G52" s="37" t="s">
        <v>210</v>
      </c>
      <c r="H52" s="3">
        <f>IF(G51=12.5,0.66,IF(G51=15,0.75,IF(G51=20,0.9,IF(G51=25,1.05,IF(G51=30,1.2,IF(G51=35,1.3,IF(G51=40,1.4,IF(G51=45,1.45,IF(G51=50,1.55,IF(G51=55,1.6,IF(G51=60,1.65,"nhập giá trị vào")))))))))))</f>
        <v>0.9</v>
      </c>
      <c r="I52" s="3" t="s">
        <v>209</v>
      </c>
      <c r="J52" s="37" t="s">
        <v>211</v>
      </c>
      <c r="K52" s="3">
        <f>IF(G51=12.5,21,IF(G51=15,23,IF(G51=20,27,IF(G51=25,30,IF(G51=30,32.5,IF(G51=35,34.5,IF(G51=40,36,IF(G51=45,37.5,IF(G51=50,39,IF(G51=55,39.5,IF(G51=60,40,"nhập giá trị vào")))))))))))</f>
        <v>27</v>
      </c>
      <c r="L52" s="37" t="s">
        <v>212</v>
      </c>
      <c r="M52" s="3" t="s">
        <v>209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ht="17.25" customHeight="1">
      <c r="A53" s="8"/>
      <c r="B53" s="2"/>
      <c r="C53" s="165" t="s">
        <v>215</v>
      </c>
      <c r="D53" s="3"/>
      <c r="E53" s="3"/>
      <c r="F53" s="3"/>
      <c r="G53" s="169" t="str">
        <f>'Nhập dữ liệu'!G29</f>
        <v>CI</v>
      </c>
      <c r="H53" s="3" t="s">
        <v>216</v>
      </c>
      <c r="I53" s="37" t="s">
        <v>217</v>
      </c>
      <c r="J53" s="3">
        <v>210.0</v>
      </c>
      <c r="K53" s="3" t="s">
        <v>209</v>
      </c>
      <c r="L53" s="37" t="s">
        <v>219</v>
      </c>
      <c r="M53" s="37">
        <v>210.0</v>
      </c>
      <c r="N53" s="3" t="s">
        <v>209</v>
      </c>
      <c r="O53" s="37" t="s">
        <v>220</v>
      </c>
      <c r="P53" s="37">
        <v>170.0</v>
      </c>
      <c r="Q53" s="3" t="s">
        <v>209</v>
      </c>
      <c r="R53" s="37" t="s">
        <v>221</v>
      </c>
      <c r="S53" s="3">
        <f t="shared" ref="S53:S54" si="1">IF(OR(G53="a-I",G53="a-ii",G53="ci",G53="cii"),21,IF(OR(G53="a-iii",G53="ciii"),20,IF(OR(G53="civ",G53="a-iv",G53="a-v",G53="a-vii"),19,IF(G53="a-iiib",18))))</f>
        <v>21</v>
      </c>
      <c r="T53" s="37" t="s">
        <v>224</v>
      </c>
      <c r="U53" s="3" t="s">
        <v>209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ht="17.25" customHeight="1">
      <c r="A54" s="8"/>
      <c r="B54" s="2"/>
      <c r="C54" s="165" t="s">
        <v>225</v>
      </c>
      <c r="D54" s="3"/>
      <c r="E54" s="3"/>
      <c r="F54" s="3"/>
      <c r="G54" s="169" t="str">
        <f>'Nhập dữ liệu'!G30</f>
        <v>CII</v>
      </c>
      <c r="H54" s="3" t="s">
        <v>216</v>
      </c>
      <c r="I54" s="61" t="s">
        <v>227</v>
      </c>
      <c r="J54" s="172">
        <v>260.0</v>
      </c>
      <c r="K54" s="172" t="s">
        <v>209</v>
      </c>
      <c r="L54" s="61" t="s">
        <v>228</v>
      </c>
      <c r="M54" s="61">
        <v>260.0</v>
      </c>
      <c r="N54" s="172" t="s">
        <v>209</v>
      </c>
      <c r="O54" s="61" t="s">
        <v>229</v>
      </c>
      <c r="P54" s="61">
        <v>210.0</v>
      </c>
      <c r="Q54" s="172" t="s">
        <v>209</v>
      </c>
      <c r="R54" s="37" t="s">
        <v>230</v>
      </c>
      <c r="S54" s="3">
        <f t="shared" si="1"/>
        <v>21</v>
      </c>
      <c r="T54" s="37" t="s">
        <v>231</v>
      </c>
      <c r="U54" s="3" t="s">
        <v>209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ht="17.25" customHeight="1">
      <c r="A55" s="8"/>
      <c r="B55" s="2" t="s">
        <v>233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ht="17.25" customHeight="1">
      <c r="A56" s="8"/>
      <c r="B56" s="2"/>
      <c r="C56" s="3"/>
      <c r="D56" s="3"/>
      <c r="E56" s="3"/>
      <c r="F56" s="3"/>
      <c r="G56" s="4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ht="17.25" customHeight="1">
      <c r="A57" s="8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ht="17.25" customHeight="1">
      <c r="A58" s="8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ht="17.25" customHeight="1">
      <c r="A59" s="8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ht="17.25" customHeight="1">
      <c r="A60" s="8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ht="17.25" customHeight="1">
      <c r="A61" s="8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ht="17.25" customHeight="1">
      <c r="A62" s="8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ht="17.25" customHeight="1">
      <c r="A63" s="8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ht="17.25" customHeight="1">
      <c r="A64" s="8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ht="17.25" customHeight="1">
      <c r="A65" s="8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ht="17.25" customHeight="1">
      <c r="A66" s="8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ht="17.25" customHeight="1">
      <c r="A67" s="8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ht="17.25" customHeight="1">
      <c r="A68" s="8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ht="17.25" customHeight="1">
      <c r="A69" s="8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ht="17.25" customHeight="1">
      <c r="A70" s="8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ht="17.25" customHeight="1">
      <c r="A71" s="8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ht="17.25" customHeight="1">
      <c r="A72" s="8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ht="17.25" customHeight="1">
      <c r="A73" s="8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ht="17.25" customHeight="1">
      <c r="A74" s="8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ht="17.25" customHeight="1">
      <c r="A75" s="8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ht="17.25" customHeight="1">
      <c r="A76" s="8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ht="17.25" customHeight="1">
      <c r="A77" s="8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ht="17.25" customHeight="1">
      <c r="A78" s="8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ht="17.25" customHeight="1">
      <c r="A79" s="8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ht="17.25" customHeight="1">
      <c r="A80" s="8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ht="17.25" customHeight="1">
      <c r="A81" s="8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ht="17.25" customHeight="1">
      <c r="A82" s="8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ht="17.25" customHeight="1">
      <c r="A83" s="8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ht="17.25" customHeight="1">
      <c r="A84" s="8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ht="17.25" customHeight="1">
      <c r="A85" s="8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ht="17.25" customHeight="1">
      <c r="A86" s="8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ht="17.25" customHeight="1">
      <c r="A87" s="8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ht="17.25" customHeight="1">
      <c r="A88" s="8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ht="17.25" customHeight="1">
      <c r="A89" s="8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ht="17.25" customHeight="1">
      <c r="A90" s="8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ht="17.25" customHeight="1">
      <c r="A91" s="8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ht="17.25" customHeight="1">
      <c r="A92" s="8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ht="17.25" customHeight="1">
      <c r="A93" s="8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ht="17.25" customHeight="1">
      <c r="A94" s="8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ht="17.25" customHeight="1">
      <c r="A95" s="8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ht="17.25" customHeight="1">
      <c r="A96" s="8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ht="17.25" customHeight="1">
      <c r="A97" s="8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ht="17.25" customHeight="1">
      <c r="A98" s="8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ht="17.25" customHeight="1">
      <c r="A99" s="8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ht="17.25" customHeight="1">
      <c r="A100" s="8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ht="17.25" customHeight="1">
      <c r="A101" s="8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ht="17.25" customHeight="1">
      <c r="A102" s="8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ht="17.25" customHeight="1">
      <c r="A103" s="8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ht="17.25" customHeight="1">
      <c r="A104" s="8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ht="17.25" customHeight="1">
      <c r="A105" s="8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ht="17.25" customHeight="1">
      <c r="A106" s="8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ht="17.25" customHeight="1">
      <c r="A107" s="8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ht="17.25" customHeight="1">
      <c r="A108" s="8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ht="17.25" customHeight="1">
      <c r="A109" s="8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ht="17.25" customHeight="1">
      <c r="A110" s="8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ht="17.25" customHeight="1">
      <c r="A111" s="8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ht="17.25" customHeight="1">
      <c r="A112" s="8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ht="17.25" customHeight="1">
      <c r="A113" s="8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ht="17.25" customHeight="1">
      <c r="A114" s="8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ht="17.25" customHeight="1">
      <c r="A115" s="8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ht="17.25" customHeight="1">
      <c r="A116" s="8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ht="17.25" customHeight="1">
      <c r="A117" s="8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ht="17.25" customHeight="1">
      <c r="A118" s="8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ht="17.25" customHeight="1">
      <c r="A119" s="8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ht="17.25" customHeight="1">
      <c r="A120" s="8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ht="17.25" customHeight="1">
      <c r="A121" s="8"/>
      <c r="B121" s="2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ht="17.25" customHeight="1">
      <c r="A122" s="8"/>
      <c r="B122" s="2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ht="17.25" customHeight="1">
      <c r="A123" s="8"/>
      <c r="B123" s="2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ht="17.25" customHeight="1">
      <c r="A124" s="8"/>
      <c r="B124" s="2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</row>
    <row r="125" ht="17.25" customHeight="1">
      <c r="A125" s="8"/>
      <c r="B125" s="2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</row>
    <row r="126" ht="17.25" customHeight="1">
      <c r="A126" s="8"/>
      <c r="B126" s="2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</row>
    <row r="127" ht="17.25" customHeight="1">
      <c r="A127" s="8"/>
      <c r="B127" s="2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</row>
    <row r="128" ht="17.25" customHeight="1">
      <c r="A128" s="8"/>
      <c r="B128" s="2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</row>
    <row r="129" ht="17.25" customHeight="1">
      <c r="A129" s="8"/>
      <c r="B129" s="2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</row>
    <row r="130" ht="17.25" customHeight="1">
      <c r="A130" s="8"/>
      <c r="B130" s="2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</row>
    <row r="131" ht="17.25" customHeight="1">
      <c r="A131" s="8"/>
      <c r="B131" s="2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</row>
    <row r="132" ht="17.25" customHeight="1">
      <c r="A132" s="8"/>
      <c r="B132" s="2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</row>
    <row r="133" ht="17.25" customHeight="1">
      <c r="A133" s="8"/>
      <c r="B133" s="2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</row>
    <row r="134" ht="17.25" customHeight="1">
      <c r="A134" s="8"/>
      <c r="B134" s="2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</row>
    <row r="135" ht="17.25" customHeight="1">
      <c r="A135" s="8"/>
      <c r="B135" s="2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</row>
    <row r="136" ht="17.25" customHeight="1">
      <c r="A136" s="8"/>
      <c r="B136" s="2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</row>
    <row r="137" ht="17.25" customHeight="1">
      <c r="A137" s="8"/>
      <c r="B137" s="2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</row>
    <row r="138" ht="17.25" customHeight="1">
      <c r="A138" s="8"/>
      <c r="B138" s="2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</row>
    <row r="139" ht="17.25" customHeight="1">
      <c r="A139" s="8"/>
      <c r="B139" s="2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</row>
    <row r="140" ht="17.25" customHeight="1">
      <c r="A140" s="8"/>
      <c r="B140" s="2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</row>
    <row r="141" ht="17.25" customHeight="1">
      <c r="A141" s="8"/>
      <c r="B141" s="2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</row>
    <row r="142" ht="17.25" customHeight="1">
      <c r="A142" s="8"/>
      <c r="B142" s="2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</row>
    <row r="143" ht="17.25" customHeight="1">
      <c r="A143" s="8"/>
      <c r="B143" s="2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</row>
    <row r="144" ht="17.25" customHeight="1">
      <c r="A144" s="8"/>
      <c r="B144" s="2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</row>
    <row r="145" ht="17.25" customHeight="1">
      <c r="A145" s="8"/>
      <c r="B145" s="2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</row>
    <row r="146" ht="17.25" customHeight="1">
      <c r="A146" s="8"/>
      <c r="B146" s="2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</row>
    <row r="147" ht="17.25" customHeight="1">
      <c r="A147" s="8"/>
      <c r="B147" s="2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</row>
    <row r="148" ht="17.25" customHeight="1">
      <c r="A148" s="8"/>
      <c r="B148" s="2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</row>
    <row r="149" ht="17.25" customHeight="1">
      <c r="A149" s="8"/>
      <c r="B149" s="2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</row>
    <row r="150" ht="17.25" customHeight="1">
      <c r="A150" s="8"/>
      <c r="B150" s="2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</row>
    <row r="151" ht="17.25" customHeight="1">
      <c r="A151" s="8"/>
      <c r="B151" s="2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</row>
    <row r="152" ht="17.25" customHeight="1">
      <c r="A152" s="8"/>
      <c r="B152" s="2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</row>
    <row r="153" ht="17.25" customHeight="1">
      <c r="A153" s="8"/>
      <c r="B153" s="2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</row>
    <row r="154" ht="17.25" customHeight="1">
      <c r="A154" s="8"/>
      <c r="B154" s="2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</row>
    <row r="155" ht="17.25" customHeight="1">
      <c r="A155" s="8"/>
      <c r="B155" s="2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</row>
    <row r="156" ht="17.25" customHeight="1">
      <c r="A156" s="8"/>
      <c r="B156" s="2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</row>
    <row r="157" ht="17.25" customHeight="1">
      <c r="A157" s="8"/>
      <c r="B157" s="2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</row>
    <row r="158" ht="17.25" customHeight="1">
      <c r="A158" s="8"/>
      <c r="B158" s="2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</row>
    <row r="159" ht="17.25" customHeight="1">
      <c r="A159" s="8"/>
      <c r="B159" s="2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</row>
    <row r="160" ht="17.25" customHeight="1">
      <c r="A160" s="8"/>
      <c r="B160" s="2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</row>
    <row r="161" ht="17.25" customHeight="1">
      <c r="A161" s="8"/>
      <c r="B161" s="2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</row>
    <row r="162" ht="17.25" customHeight="1">
      <c r="A162" s="8"/>
      <c r="B162" s="2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</row>
    <row r="163" ht="17.25" customHeight="1">
      <c r="A163" s="8"/>
      <c r="B163" s="2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</row>
    <row r="164" ht="17.25" customHeight="1">
      <c r="A164" s="8"/>
      <c r="B164" s="2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</row>
    <row r="165" ht="17.25" customHeight="1">
      <c r="A165" s="8"/>
      <c r="B165" s="2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</row>
    <row r="166" ht="17.25" customHeight="1">
      <c r="A166" s="8"/>
      <c r="B166" s="2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</row>
    <row r="167" ht="17.25" customHeight="1">
      <c r="A167" s="8"/>
      <c r="B167" s="2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</row>
    <row r="168" ht="17.25" customHeight="1">
      <c r="A168" s="8"/>
      <c r="B168" s="2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</row>
    <row r="169" ht="17.25" customHeight="1">
      <c r="A169" s="8"/>
      <c r="B169" s="2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</row>
    <row r="170" ht="17.25" customHeight="1">
      <c r="A170" s="8"/>
      <c r="B170" s="2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</row>
    <row r="171" ht="17.25" customHeight="1">
      <c r="A171" s="8"/>
      <c r="B171" s="2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</row>
    <row r="172" ht="17.25" customHeight="1">
      <c r="A172" s="8"/>
      <c r="B172" s="2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</row>
    <row r="173" ht="17.25" customHeight="1">
      <c r="A173" s="8"/>
      <c r="B173" s="2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</row>
    <row r="174" ht="17.25" customHeight="1">
      <c r="A174" s="8"/>
      <c r="B174" s="2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</row>
    <row r="175" ht="17.25" customHeight="1">
      <c r="A175" s="8"/>
      <c r="B175" s="2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</row>
    <row r="176" ht="17.25" customHeight="1">
      <c r="A176" s="8"/>
      <c r="B176" s="2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</row>
    <row r="177" ht="17.25" customHeight="1">
      <c r="A177" s="8"/>
      <c r="B177" s="2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</row>
    <row r="178" ht="17.25" customHeight="1">
      <c r="A178" s="8"/>
      <c r="B178" s="2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</row>
    <row r="179" ht="17.25" customHeight="1">
      <c r="A179" s="8"/>
      <c r="B179" s="2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</row>
    <row r="180" ht="17.25" customHeight="1">
      <c r="A180" s="8"/>
      <c r="B180" s="2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</row>
    <row r="181" ht="17.25" customHeight="1">
      <c r="A181" s="8"/>
      <c r="B181" s="2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</row>
    <row r="182" ht="17.25" customHeight="1">
      <c r="A182" s="8"/>
      <c r="B182" s="2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</row>
    <row r="183" ht="17.25" customHeight="1">
      <c r="A183" s="8"/>
      <c r="B183" s="2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</row>
    <row r="184" ht="17.25" customHeight="1">
      <c r="A184" s="8"/>
      <c r="B184" s="2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</row>
    <row r="185" ht="17.25" customHeight="1">
      <c r="A185" s="8"/>
      <c r="B185" s="2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</row>
    <row r="186" ht="17.25" customHeight="1">
      <c r="A186" s="8"/>
      <c r="B186" s="2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</row>
    <row r="187" ht="17.25" customHeight="1">
      <c r="A187" s="8"/>
      <c r="B187" s="2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</row>
    <row r="188" ht="17.25" customHeight="1">
      <c r="A188" s="8"/>
      <c r="B188" s="2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</row>
    <row r="189" ht="17.25" customHeight="1">
      <c r="A189" s="8"/>
      <c r="B189" s="2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</row>
    <row r="190" ht="17.25" customHeight="1">
      <c r="A190" s="8"/>
      <c r="B190" s="2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</row>
    <row r="191" ht="17.25" customHeight="1">
      <c r="A191" s="8"/>
      <c r="B191" s="2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</row>
    <row r="192" ht="17.25" customHeight="1">
      <c r="A192" s="8"/>
      <c r="B192" s="2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</row>
    <row r="193" ht="17.25" customHeight="1">
      <c r="A193" s="8"/>
      <c r="B193" s="2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</row>
    <row r="194" ht="17.25" customHeight="1">
      <c r="A194" s="8"/>
      <c r="B194" s="2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</row>
    <row r="195" ht="17.25" customHeight="1">
      <c r="A195" s="8"/>
      <c r="B195" s="2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</row>
    <row r="196" ht="17.25" customHeight="1">
      <c r="A196" s="8"/>
      <c r="B196" s="2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</row>
    <row r="197" ht="17.25" customHeight="1">
      <c r="A197" s="8"/>
      <c r="B197" s="2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</row>
    <row r="198" ht="17.25" customHeight="1">
      <c r="A198" s="8"/>
      <c r="B198" s="2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</row>
    <row r="199" ht="17.25" customHeight="1">
      <c r="A199" s="8"/>
      <c r="B199" s="2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</row>
    <row r="200" ht="17.25" customHeight="1">
      <c r="A200" s="8"/>
      <c r="B200" s="2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</row>
    <row r="201" ht="17.25" customHeight="1">
      <c r="A201" s="317"/>
      <c r="B201" s="201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</row>
    <row r="202" ht="17.25" customHeight="1">
      <c r="A202" s="317"/>
      <c r="B202" s="201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</row>
    <row r="203" ht="17.25" customHeight="1">
      <c r="A203" s="317"/>
      <c r="B203" s="201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</row>
    <row r="204" ht="17.25" customHeight="1">
      <c r="A204" s="317"/>
      <c r="B204" s="201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</row>
    <row r="205" ht="17.25" customHeight="1">
      <c r="A205" s="317"/>
      <c r="B205" s="201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</row>
    <row r="206" ht="17.25" customHeight="1">
      <c r="A206" s="317"/>
      <c r="B206" s="201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</row>
    <row r="207" ht="17.25" customHeight="1">
      <c r="A207" s="317"/>
      <c r="B207" s="201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</row>
    <row r="208" ht="17.25" customHeight="1">
      <c r="A208" s="317"/>
      <c r="B208" s="201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</row>
    <row r="209" ht="17.25" customHeight="1">
      <c r="A209" s="317"/>
      <c r="B209" s="201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</row>
    <row r="210" ht="17.25" customHeight="1">
      <c r="A210" s="317"/>
      <c r="B210" s="201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</row>
    <row r="211" ht="17.25" customHeight="1">
      <c r="A211" s="317"/>
      <c r="B211" s="201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</row>
    <row r="212" ht="17.25" customHeight="1">
      <c r="A212" s="317"/>
      <c r="B212" s="201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</row>
    <row r="213" ht="17.25" customHeight="1">
      <c r="A213" s="317"/>
      <c r="B213" s="201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</row>
    <row r="214" ht="17.25" customHeight="1">
      <c r="A214" s="317"/>
      <c r="B214" s="201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</row>
    <row r="215" ht="17.25" customHeight="1">
      <c r="A215" s="317"/>
      <c r="B215" s="201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</row>
    <row r="216" ht="17.25" customHeight="1">
      <c r="A216" s="317"/>
      <c r="B216" s="201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</row>
    <row r="217" ht="17.25" customHeight="1">
      <c r="A217" s="317"/>
      <c r="B217" s="201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</row>
    <row r="218" ht="17.25" customHeight="1">
      <c r="A218" s="317"/>
      <c r="B218" s="201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</row>
    <row r="219" ht="17.25" customHeight="1">
      <c r="A219" s="317"/>
      <c r="B219" s="201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</row>
    <row r="220" ht="17.25" customHeight="1">
      <c r="A220" s="317"/>
      <c r="B220" s="201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</row>
    <row r="221" ht="17.25" customHeight="1">
      <c r="A221" s="317"/>
      <c r="B221" s="201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</row>
    <row r="222" ht="17.25" customHeight="1">
      <c r="A222" s="317"/>
      <c r="B222" s="201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</row>
    <row r="223" ht="17.25" customHeight="1">
      <c r="A223" s="317"/>
      <c r="B223" s="201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</row>
    <row r="224" ht="17.25" customHeight="1">
      <c r="A224" s="317"/>
      <c r="B224" s="201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</row>
    <row r="225" ht="17.25" customHeight="1">
      <c r="A225" s="317"/>
      <c r="B225" s="201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</row>
    <row r="226" ht="17.25" customHeight="1">
      <c r="A226" s="317"/>
      <c r="B226" s="201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</row>
    <row r="227" ht="17.25" customHeight="1">
      <c r="A227" s="317"/>
      <c r="B227" s="201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</row>
    <row r="228" ht="17.25" customHeight="1">
      <c r="A228" s="317"/>
      <c r="B228" s="201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</row>
    <row r="229" ht="17.25" customHeight="1">
      <c r="A229" s="317"/>
      <c r="B229" s="201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</row>
    <row r="230" ht="17.25" customHeight="1">
      <c r="A230" s="317"/>
      <c r="B230" s="201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</row>
    <row r="231" ht="17.25" customHeight="1">
      <c r="A231" s="317"/>
      <c r="B231" s="201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</row>
    <row r="232" ht="17.25" customHeight="1">
      <c r="A232" s="317"/>
      <c r="B232" s="201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</row>
    <row r="233" ht="17.25" customHeight="1">
      <c r="A233" s="317"/>
      <c r="B233" s="201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</row>
    <row r="234" ht="17.25" customHeight="1">
      <c r="A234" s="317"/>
      <c r="B234" s="201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</row>
    <row r="235" ht="17.25" customHeight="1">
      <c r="A235" s="317"/>
      <c r="B235" s="201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</row>
    <row r="236" ht="17.25" customHeight="1">
      <c r="A236" s="317"/>
      <c r="B236" s="201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</row>
    <row r="237" ht="17.25" customHeight="1">
      <c r="A237" s="317"/>
      <c r="B237" s="201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</row>
    <row r="238" ht="17.25" customHeight="1">
      <c r="A238" s="317"/>
      <c r="B238" s="201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</row>
    <row r="239" ht="17.25" customHeight="1">
      <c r="A239" s="317"/>
      <c r="B239" s="201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</row>
    <row r="240" ht="17.25" customHeight="1">
      <c r="A240" s="317"/>
      <c r="B240" s="201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</row>
    <row r="241" ht="17.25" customHeight="1">
      <c r="A241" s="317"/>
      <c r="B241" s="201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</row>
    <row r="242" ht="17.25" customHeight="1">
      <c r="A242" s="317"/>
      <c r="B242" s="201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</row>
    <row r="243" ht="17.25" customHeight="1">
      <c r="A243" s="317"/>
      <c r="B243" s="201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</row>
    <row r="244" ht="17.25" customHeight="1">
      <c r="A244" s="317"/>
      <c r="B244" s="201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</row>
    <row r="245" ht="17.25" customHeight="1">
      <c r="A245" s="317"/>
      <c r="B245" s="201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</row>
    <row r="246" ht="17.25" customHeight="1">
      <c r="A246" s="317"/>
      <c r="B246" s="201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</row>
    <row r="247" ht="17.25" customHeight="1">
      <c r="A247" s="317"/>
      <c r="B247" s="201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</row>
    <row r="248" ht="17.25" customHeight="1">
      <c r="A248" s="317"/>
      <c r="B248" s="201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</row>
    <row r="249" ht="17.25" customHeight="1">
      <c r="A249" s="317"/>
      <c r="B249" s="201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</row>
    <row r="250" ht="17.25" customHeight="1">
      <c r="A250" s="317"/>
      <c r="B250" s="201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</row>
    <row r="251" ht="17.25" customHeight="1">
      <c r="A251" s="317"/>
      <c r="B251" s="201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</row>
    <row r="252" ht="17.25" customHeight="1">
      <c r="A252" s="317"/>
      <c r="B252" s="201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</row>
    <row r="253" ht="17.25" customHeight="1">
      <c r="A253" s="317"/>
      <c r="B253" s="201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</row>
    <row r="254" ht="17.25" customHeight="1">
      <c r="A254" s="317"/>
      <c r="B254" s="201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</row>
    <row r="255" ht="17.25" customHeight="1">
      <c r="A255" s="317"/>
      <c r="B255" s="201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</row>
    <row r="256" ht="17.25" customHeight="1">
      <c r="A256" s="317"/>
      <c r="B256" s="201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</row>
    <row r="257" ht="17.25" customHeight="1">
      <c r="A257" s="317"/>
      <c r="B257" s="201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</row>
    <row r="258" ht="17.25" customHeight="1">
      <c r="A258" s="317"/>
      <c r="B258" s="201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</row>
    <row r="259" ht="17.25" customHeight="1">
      <c r="A259" s="317"/>
      <c r="B259" s="201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</row>
    <row r="260" ht="17.25" customHeight="1">
      <c r="A260" s="317"/>
      <c r="B260" s="201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</row>
    <row r="261" ht="17.25" customHeight="1">
      <c r="A261" s="317"/>
      <c r="B261" s="201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</row>
    <row r="262" ht="17.25" customHeight="1">
      <c r="A262" s="317"/>
      <c r="B262" s="201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</row>
    <row r="263" ht="17.25" customHeight="1">
      <c r="A263" s="317"/>
      <c r="B263" s="201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</row>
    <row r="264" ht="17.25" customHeight="1">
      <c r="A264" s="317"/>
      <c r="B264" s="201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</row>
    <row r="265" ht="17.25" customHeight="1">
      <c r="A265" s="317"/>
      <c r="B265" s="201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</row>
    <row r="266" ht="17.25" customHeight="1">
      <c r="A266" s="317"/>
      <c r="B266" s="201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</row>
    <row r="267" ht="17.25" customHeight="1">
      <c r="A267" s="317"/>
      <c r="B267" s="201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</row>
    <row r="268" ht="17.25" customHeight="1">
      <c r="A268" s="317"/>
      <c r="B268" s="201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</row>
    <row r="269" ht="17.25" customHeight="1">
      <c r="A269" s="317"/>
      <c r="B269" s="201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</row>
    <row r="270" ht="17.25" customHeight="1">
      <c r="A270" s="317"/>
      <c r="B270" s="201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</row>
    <row r="271" ht="17.25" customHeight="1">
      <c r="A271" s="317"/>
      <c r="B271" s="201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</row>
    <row r="272" ht="17.25" customHeight="1">
      <c r="A272" s="317"/>
      <c r="B272" s="201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</row>
    <row r="273" ht="17.25" customHeight="1">
      <c r="A273" s="317"/>
      <c r="B273" s="201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</row>
    <row r="274" ht="17.25" customHeight="1">
      <c r="A274" s="317"/>
      <c r="B274" s="201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</row>
    <row r="275" ht="17.25" customHeight="1">
      <c r="A275" s="317"/>
      <c r="B275" s="201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</row>
    <row r="276" ht="17.25" customHeight="1">
      <c r="A276" s="317"/>
      <c r="B276" s="201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</row>
    <row r="277" ht="17.25" customHeight="1">
      <c r="A277" s="317"/>
      <c r="B277" s="201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</row>
    <row r="278" ht="17.25" customHeight="1">
      <c r="A278" s="317"/>
      <c r="B278" s="201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</row>
    <row r="279" ht="17.25" customHeight="1">
      <c r="A279" s="317"/>
      <c r="B279" s="201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</row>
    <row r="280" ht="17.25" customHeight="1">
      <c r="A280" s="317"/>
      <c r="B280" s="201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</row>
    <row r="281" ht="17.25" customHeight="1">
      <c r="A281" s="317"/>
      <c r="B281" s="201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</row>
    <row r="282" ht="17.25" customHeight="1">
      <c r="A282" s="317"/>
      <c r="B282" s="201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</row>
    <row r="283" ht="17.25" customHeight="1">
      <c r="A283" s="317"/>
      <c r="B283" s="201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</row>
    <row r="284" ht="17.25" customHeight="1">
      <c r="A284" s="317"/>
      <c r="B284" s="201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</row>
    <row r="285" ht="17.25" customHeight="1">
      <c r="A285" s="317"/>
      <c r="B285" s="201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</row>
    <row r="286" ht="17.25" customHeight="1">
      <c r="A286" s="317"/>
      <c r="B286" s="201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</row>
    <row r="287" ht="17.25" customHeight="1">
      <c r="A287" s="317"/>
      <c r="B287" s="201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</row>
    <row r="288" ht="17.25" customHeight="1">
      <c r="A288" s="317"/>
      <c r="B288" s="201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</row>
    <row r="289" ht="17.25" customHeight="1">
      <c r="A289" s="317"/>
      <c r="B289" s="201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</row>
    <row r="290" ht="17.25" customHeight="1">
      <c r="A290" s="317"/>
      <c r="B290" s="201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</row>
    <row r="291" ht="17.25" customHeight="1">
      <c r="A291" s="317"/>
      <c r="B291" s="201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</row>
    <row r="292" ht="17.25" customHeight="1">
      <c r="A292" s="317"/>
      <c r="B292" s="201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</row>
    <row r="293" ht="17.25" customHeight="1">
      <c r="A293" s="317"/>
      <c r="B293" s="201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</row>
    <row r="294" ht="17.25" customHeight="1">
      <c r="A294" s="317"/>
      <c r="B294" s="201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</row>
    <row r="295" ht="17.25" customHeight="1">
      <c r="A295" s="317"/>
      <c r="B295" s="201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</row>
    <row r="296" ht="17.25" customHeight="1">
      <c r="A296" s="317"/>
      <c r="B296" s="201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</row>
    <row r="297" ht="17.25" customHeight="1">
      <c r="A297" s="317"/>
      <c r="B297" s="201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</row>
    <row r="298" ht="17.25" customHeight="1">
      <c r="A298" s="317"/>
      <c r="B298" s="201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</row>
    <row r="299" ht="17.25" customHeight="1">
      <c r="A299" s="317"/>
      <c r="B299" s="201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</row>
    <row r="300" ht="17.25" customHeight="1">
      <c r="A300" s="317"/>
      <c r="B300" s="201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</row>
    <row r="301" ht="17.25" customHeight="1">
      <c r="A301" s="317"/>
      <c r="B301" s="201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</row>
    <row r="302" ht="17.25" customHeight="1">
      <c r="A302" s="317"/>
      <c r="B302" s="201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</row>
    <row r="303" ht="17.25" customHeight="1">
      <c r="A303" s="317"/>
      <c r="B303" s="201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</row>
    <row r="304" ht="17.25" customHeight="1">
      <c r="A304" s="317"/>
      <c r="B304" s="201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</row>
    <row r="305" ht="17.25" customHeight="1">
      <c r="A305" s="317"/>
      <c r="B305" s="201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</row>
    <row r="306" ht="17.25" customHeight="1">
      <c r="A306" s="317"/>
      <c r="B306" s="201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</row>
    <row r="307" ht="17.25" customHeight="1">
      <c r="A307" s="317"/>
      <c r="B307" s="201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</row>
    <row r="308" ht="17.25" customHeight="1">
      <c r="A308" s="317"/>
      <c r="B308" s="201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</row>
    <row r="309" ht="17.25" customHeight="1">
      <c r="A309" s="317"/>
      <c r="B309" s="201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</row>
    <row r="310" ht="17.25" customHeight="1">
      <c r="A310" s="317"/>
      <c r="B310" s="201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</row>
    <row r="311" ht="17.25" customHeight="1">
      <c r="A311" s="317"/>
      <c r="B311" s="201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</row>
    <row r="312" ht="17.25" customHeight="1">
      <c r="A312" s="317"/>
      <c r="B312" s="201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</row>
    <row r="313" ht="17.25" customHeight="1">
      <c r="A313" s="317"/>
      <c r="B313" s="201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</row>
    <row r="314" ht="17.25" customHeight="1">
      <c r="A314" s="317"/>
      <c r="B314" s="201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</row>
    <row r="315" ht="17.25" customHeight="1">
      <c r="A315" s="317"/>
      <c r="B315" s="201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</row>
    <row r="316" ht="17.25" customHeight="1">
      <c r="A316" s="317"/>
      <c r="B316" s="201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</row>
    <row r="317" ht="17.25" customHeight="1">
      <c r="A317" s="317"/>
      <c r="B317" s="201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</row>
    <row r="318" ht="17.25" customHeight="1">
      <c r="A318" s="317"/>
      <c r="B318" s="201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</row>
    <row r="319" ht="17.25" customHeight="1">
      <c r="A319" s="317"/>
      <c r="B319" s="201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</row>
    <row r="320" ht="17.25" customHeight="1">
      <c r="A320" s="317"/>
      <c r="B320" s="201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</row>
    <row r="321" ht="17.25" customHeight="1">
      <c r="A321" s="317"/>
      <c r="B321" s="201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</row>
    <row r="322" ht="17.25" customHeight="1">
      <c r="A322" s="317"/>
      <c r="B322" s="201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</row>
    <row r="323" ht="17.25" customHeight="1">
      <c r="A323" s="317"/>
      <c r="B323" s="201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</row>
    <row r="324" ht="17.25" customHeight="1">
      <c r="A324" s="317"/>
      <c r="B324" s="201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</row>
    <row r="325" ht="17.25" customHeight="1">
      <c r="A325" s="317"/>
      <c r="B325" s="201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</row>
    <row r="326" ht="17.25" customHeight="1">
      <c r="A326" s="317"/>
      <c r="B326" s="201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</row>
    <row r="327" ht="17.25" customHeight="1">
      <c r="A327" s="317"/>
      <c r="B327" s="201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</row>
    <row r="328" ht="17.25" customHeight="1">
      <c r="A328" s="317"/>
      <c r="B328" s="201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</row>
    <row r="329" ht="17.25" customHeight="1">
      <c r="A329" s="317"/>
      <c r="B329" s="201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</row>
    <row r="330" ht="17.25" customHeight="1">
      <c r="A330" s="317"/>
      <c r="B330" s="201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</row>
    <row r="331" ht="17.25" customHeight="1">
      <c r="A331" s="317"/>
      <c r="B331" s="201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</row>
    <row r="332" ht="17.25" customHeight="1">
      <c r="A332" s="317"/>
      <c r="B332" s="201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</row>
    <row r="333" ht="17.25" customHeight="1">
      <c r="A333" s="317"/>
      <c r="B333" s="201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</row>
    <row r="334" ht="17.25" customHeight="1">
      <c r="A334" s="317"/>
      <c r="B334" s="201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</row>
    <row r="335" ht="17.25" customHeight="1">
      <c r="A335" s="317"/>
      <c r="B335" s="201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</row>
    <row r="336" ht="17.25" customHeight="1">
      <c r="A336" s="317"/>
      <c r="B336" s="201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</row>
    <row r="337" ht="17.25" customHeight="1">
      <c r="A337" s="317"/>
      <c r="B337" s="201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</row>
    <row r="338" ht="17.25" customHeight="1">
      <c r="A338" s="317"/>
      <c r="B338" s="201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</row>
    <row r="339" ht="17.25" customHeight="1">
      <c r="A339" s="317"/>
      <c r="B339" s="201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</row>
    <row r="340" ht="17.25" customHeight="1">
      <c r="A340" s="317"/>
      <c r="B340" s="201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</row>
    <row r="341" ht="17.25" customHeight="1">
      <c r="A341" s="317"/>
      <c r="B341" s="201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</row>
    <row r="342" ht="17.25" customHeight="1">
      <c r="A342" s="317"/>
      <c r="B342" s="201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</row>
    <row r="343" ht="17.25" customHeight="1">
      <c r="A343" s="317"/>
      <c r="B343" s="201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</row>
    <row r="344" ht="17.25" customHeight="1">
      <c r="A344" s="317"/>
      <c r="B344" s="201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</row>
    <row r="345" ht="17.25" customHeight="1">
      <c r="A345" s="317"/>
      <c r="B345" s="201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</row>
    <row r="346" ht="17.25" customHeight="1">
      <c r="A346" s="317"/>
      <c r="B346" s="201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</row>
    <row r="347" ht="17.25" customHeight="1">
      <c r="A347" s="317"/>
      <c r="B347" s="201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</row>
    <row r="348" ht="17.25" customHeight="1">
      <c r="A348" s="317"/>
      <c r="B348" s="201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</row>
    <row r="349" ht="17.25" customHeight="1">
      <c r="A349" s="317"/>
      <c r="B349" s="201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</row>
    <row r="350" ht="17.25" customHeight="1">
      <c r="A350" s="317"/>
      <c r="B350" s="201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</row>
    <row r="351" ht="17.25" customHeight="1">
      <c r="A351" s="317"/>
      <c r="B351" s="201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</row>
    <row r="352" ht="17.25" customHeight="1">
      <c r="A352" s="317"/>
      <c r="B352" s="201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</row>
    <row r="353" ht="17.25" customHeight="1">
      <c r="A353" s="317"/>
      <c r="B353" s="201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</row>
    <row r="354" ht="17.25" customHeight="1">
      <c r="A354" s="317"/>
      <c r="B354" s="201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</row>
    <row r="355" ht="17.25" customHeight="1">
      <c r="A355" s="317"/>
      <c r="B355" s="201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</row>
    <row r="356" ht="17.25" customHeight="1">
      <c r="A356" s="317"/>
      <c r="B356" s="201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</row>
    <row r="357" ht="17.25" customHeight="1">
      <c r="A357" s="317"/>
      <c r="B357" s="201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</row>
    <row r="358" ht="17.25" customHeight="1">
      <c r="A358" s="317"/>
      <c r="B358" s="201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</row>
    <row r="359" ht="17.25" customHeight="1">
      <c r="A359" s="317"/>
      <c r="B359" s="201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</row>
    <row r="360" ht="17.25" customHeight="1">
      <c r="A360" s="317"/>
      <c r="B360" s="201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</row>
    <row r="361" ht="17.25" customHeight="1">
      <c r="A361" s="317"/>
      <c r="B361" s="201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</row>
    <row r="362" ht="17.25" customHeight="1">
      <c r="A362" s="317"/>
      <c r="B362" s="201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</row>
    <row r="363" ht="17.25" customHeight="1">
      <c r="A363" s="317"/>
      <c r="B363" s="201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</row>
    <row r="364" ht="17.25" customHeight="1">
      <c r="A364" s="317"/>
      <c r="B364" s="201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</row>
    <row r="365" ht="17.25" customHeight="1">
      <c r="A365" s="317"/>
      <c r="B365" s="201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</row>
    <row r="366" ht="17.25" customHeight="1">
      <c r="A366" s="317"/>
      <c r="B366" s="201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</row>
    <row r="367" ht="17.25" customHeight="1">
      <c r="A367" s="317"/>
      <c r="B367" s="201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</row>
    <row r="368" ht="17.25" customHeight="1">
      <c r="A368" s="317"/>
      <c r="B368" s="201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</row>
    <row r="369" ht="17.25" customHeight="1">
      <c r="A369" s="317"/>
      <c r="B369" s="201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</row>
    <row r="370" ht="17.25" customHeight="1">
      <c r="A370" s="317"/>
      <c r="B370" s="201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</row>
    <row r="371" ht="17.25" customHeight="1">
      <c r="A371" s="317"/>
      <c r="B371" s="201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</row>
    <row r="372" ht="17.25" customHeight="1">
      <c r="A372" s="317"/>
      <c r="B372" s="201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</row>
    <row r="373" ht="17.25" customHeight="1">
      <c r="A373" s="317"/>
      <c r="B373" s="201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</row>
    <row r="374" ht="17.25" customHeight="1">
      <c r="A374" s="317"/>
      <c r="B374" s="201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</row>
    <row r="375" ht="17.25" customHeight="1">
      <c r="A375" s="317"/>
      <c r="B375" s="201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</row>
    <row r="376" ht="17.25" customHeight="1">
      <c r="A376" s="317"/>
      <c r="B376" s="201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</row>
    <row r="377" ht="17.25" customHeight="1">
      <c r="A377" s="317"/>
      <c r="B377" s="201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</row>
    <row r="378" ht="17.25" customHeight="1">
      <c r="A378" s="317"/>
      <c r="B378" s="201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</row>
    <row r="379" ht="17.25" customHeight="1">
      <c r="A379" s="317"/>
      <c r="B379" s="201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</row>
    <row r="380" ht="17.25" customHeight="1">
      <c r="A380" s="317"/>
      <c r="B380" s="201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</row>
    <row r="381" ht="17.25" customHeight="1">
      <c r="A381" s="317"/>
      <c r="B381" s="201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</row>
    <row r="382" ht="17.25" customHeight="1">
      <c r="A382" s="317"/>
      <c r="B382" s="201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</row>
    <row r="383" ht="17.25" customHeight="1">
      <c r="A383" s="317"/>
      <c r="B383" s="201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</row>
    <row r="384" ht="17.25" customHeight="1">
      <c r="A384" s="317"/>
      <c r="B384" s="201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</row>
    <row r="385" ht="17.25" customHeight="1">
      <c r="A385" s="317"/>
      <c r="B385" s="201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</row>
    <row r="386" ht="17.25" customHeight="1">
      <c r="A386" s="317"/>
      <c r="B386" s="201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</row>
    <row r="387" ht="17.25" customHeight="1">
      <c r="A387" s="317"/>
      <c r="B387" s="201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</row>
    <row r="388" ht="17.25" customHeight="1">
      <c r="A388" s="317"/>
      <c r="B388" s="201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</row>
    <row r="389" ht="17.25" customHeight="1">
      <c r="A389" s="317"/>
      <c r="B389" s="201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</row>
    <row r="390" ht="17.25" customHeight="1">
      <c r="A390" s="317"/>
      <c r="B390" s="201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</row>
    <row r="391" ht="17.25" customHeight="1">
      <c r="A391" s="317"/>
      <c r="B391" s="201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</row>
    <row r="392" ht="17.25" customHeight="1">
      <c r="A392" s="317"/>
      <c r="B392" s="201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</row>
    <row r="393" ht="17.25" customHeight="1">
      <c r="A393" s="317"/>
      <c r="B393" s="201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</row>
    <row r="394" ht="17.25" customHeight="1">
      <c r="A394" s="317"/>
      <c r="B394" s="201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</row>
    <row r="395" ht="17.25" customHeight="1">
      <c r="A395" s="317"/>
      <c r="B395" s="201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</row>
    <row r="396" ht="17.25" customHeight="1">
      <c r="A396" s="317"/>
      <c r="B396" s="201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</row>
    <row r="397" ht="17.25" customHeight="1">
      <c r="A397" s="317"/>
      <c r="B397" s="201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</row>
    <row r="398" ht="17.25" customHeight="1">
      <c r="A398" s="317"/>
      <c r="B398" s="201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</row>
    <row r="399" ht="17.25" customHeight="1">
      <c r="A399" s="317"/>
      <c r="B399" s="201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</row>
    <row r="400" ht="17.25" customHeight="1">
      <c r="A400" s="317"/>
      <c r="B400" s="201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</row>
    <row r="401" ht="17.25" customHeight="1">
      <c r="A401" s="317"/>
      <c r="B401" s="201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</row>
    <row r="402" ht="17.25" customHeight="1">
      <c r="A402" s="317"/>
      <c r="B402" s="201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</row>
    <row r="403" ht="17.25" customHeight="1">
      <c r="A403" s="317"/>
      <c r="B403" s="201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</row>
    <row r="404" ht="17.25" customHeight="1">
      <c r="A404" s="317"/>
      <c r="B404" s="201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</row>
    <row r="405" ht="17.25" customHeight="1">
      <c r="A405" s="317"/>
      <c r="B405" s="201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</row>
    <row r="406" ht="17.25" customHeight="1">
      <c r="A406" s="317"/>
      <c r="B406" s="201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</row>
    <row r="407" ht="17.25" customHeight="1">
      <c r="A407" s="317"/>
      <c r="B407" s="201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</row>
    <row r="408" ht="17.25" customHeight="1">
      <c r="A408" s="317"/>
      <c r="B408" s="201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</row>
    <row r="409" ht="17.25" customHeight="1">
      <c r="A409" s="317"/>
      <c r="B409" s="201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</row>
    <row r="410" ht="17.25" customHeight="1">
      <c r="A410" s="317"/>
      <c r="B410" s="201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</row>
    <row r="411" ht="17.25" customHeight="1">
      <c r="A411" s="317"/>
      <c r="B411" s="201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</row>
    <row r="412" ht="17.25" customHeight="1">
      <c r="A412" s="317"/>
      <c r="B412" s="201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</row>
    <row r="413" ht="17.25" customHeight="1">
      <c r="A413" s="317"/>
      <c r="B413" s="201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</row>
    <row r="414" ht="17.25" customHeight="1">
      <c r="A414" s="317"/>
      <c r="B414" s="201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</row>
    <row r="415" ht="17.25" customHeight="1">
      <c r="A415" s="317"/>
      <c r="B415" s="201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</row>
    <row r="416" ht="17.25" customHeight="1">
      <c r="A416" s="317"/>
      <c r="B416" s="201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</row>
    <row r="417" ht="17.25" customHeight="1">
      <c r="A417" s="317"/>
      <c r="B417" s="201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</row>
    <row r="418" ht="17.25" customHeight="1">
      <c r="A418" s="317"/>
      <c r="B418" s="201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</row>
    <row r="419" ht="17.25" customHeight="1">
      <c r="A419" s="317"/>
      <c r="B419" s="201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</row>
    <row r="420" ht="17.25" customHeight="1">
      <c r="A420" s="317"/>
      <c r="B420" s="201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</row>
    <row r="421" ht="17.25" customHeight="1">
      <c r="A421" s="317"/>
      <c r="B421" s="201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</row>
    <row r="422" ht="17.25" customHeight="1">
      <c r="A422" s="317"/>
      <c r="B422" s="201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</row>
    <row r="423" ht="17.25" customHeight="1">
      <c r="A423" s="317"/>
      <c r="B423" s="201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</row>
    <row r="424" ht="17.25" customHeight="1">
      <c r="A424" s="317"/>
      <c r="B424" s="201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</row>
    <row r="425" ht="17.25" customHeight="1">
      <c r="A425" s="317"/>
      <c r="B425" s="201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</row>
    <row r="426" ht="17.25" customHeight="1">
      <c r="A426" s="317"/>
      <c r="B426" s="201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</row>
    <row r="427" ht="17.25" customHeight="1">
      <c r="A427" s="317"/>
      <c r="B427" s="201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</row>
    <row r="428" ht="17.25" customHeight="1">
      <c r="A428" s="317"/>
      <c r="B428" s="201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</row>
    <row r="429" ht="17.25" customHeight="1">
      <c r="A429" s="317"/>
      <c r="B429" s="201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</row>
    <row r="430" ht="17.25" customHeight="1">
      <c r="A430" s="317"/>
      <c r="B430" s="201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</row>
    <row r="431" ht="17.25" customHeight="1">
      <c r="A431" s="317"/>
      <c r="B431" s="201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</row>
    <row r="432" ht="17.25" customHeight="1">
      <c r="A432" s="317"/>
      <c r="B432" s="201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</row>
    <row r="433" ht="17.25" customHeight="1">
      <c r="A433" s="317"/>
      <c r="B433" s="201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</row>
    <row r="434" ht="17.25" customHeight="1">
      <c r="A434" s="317"/>
      <c r="B434" s="201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</row>
    <row r="435" ht="17.25" customHeight="1">
      <c r="A435" s="317"/>
      <c r="B435" s="201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</row>
    <row r="436" ht="17.25" customHeight="1">
      <c r="A436" s="317"/>
      <c r="B436" s="201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</row>
    <row r="437" ht="17.25" customHeight="1">
      <c r="A437" s="317"/>
      <c r="B437" s="201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</row>
    <row r="438" ht="17.25" customHeight="1">
      <c r="A438" s="317"/>
      <c r="B438" s="201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</row>
    <row r="439" ht="17.25" customHeight="1">
      <c r="A439" s="317"/>
      <c r="B439" s="201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</row>
    <row r="440" ht="17.25" customHeight="1">
      <c r="A440" s="317"/>
      <c r="B440" s="201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</row>
    <row r="441" ht="17.25" customHeight="1">
      <c r="A441" s="317"/>
      <c r="B441" s="201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</row>
    <row r="442" ht="17.25" customHeight="1">
      <c r="A442" s="317"/>
      <c r="B442" s="201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</row>
    <row r="443" ht="17.25" customHeight="1">
      <c r="A443" s="317"/>
      <c r="B443" s="201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</row>
    <row r="444" ht="17.25" customHeight="1">
      <c r="A444" s="317"/>
      <c r="B444" s="201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</row>
    <row r="445" ht="17.25" customHeight="1">
      <c r="A445" s="317"/>
      <c r="B445" s="201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</row>
    <row r="446" ht="17.25" customHeight="1">
      <c r="A446" s="317"/>
      <c r="B446" s="201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</row>
    <row r="447" ht="17.25" customHeight="1">
      <c r="A447" s="317"/>
      <c r="B447" s="201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</row>
    <row r="448" ht="17.25" customHeight="1">
      <c r="A448" s="317"/>
      <c r="B448" s="201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</row>
    <row r="449" ht="17.25" customHeight="1">
      <c r="A449" s="317"/>
      <c r="B449" s="201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</row>
    <row r="450" ht="17.25" customHeight="1">
      <c r="A450" s="317"/>
      <c r="B450" s="201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</row>
    <row r="451" ht="17.25" customHeight="1">
      <c r="A451" s="317"/>
      <c r="B451" s="201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</row>
    <row r="452" ht="17.25" customHeight="1">
      <c r="A452" s="317"/>
      <c r="B452" s="201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</row>
    <row r="453" ht="17.25" customHeight="1">
      <c r="A453" s="317"/>
      <c r="B453" s="201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</row>
    <row r="454" ht="17.25" customHeight="1">
      <c r="A454" s="317"/>
      <c r="B454" s="201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</row>
    <row r="455" ht="17.25" customHeight="1">
      <c r="A455" s="317"/>
      <c r="B455" s="201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</row>
    <row r="456" ht="17.25" customHeight="1">
      <c r="A456" s="317"/>
      <c r="B456" s="201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</row>
    <row r="457" ht="17.25" customHeight="1">
      <c r="A457" s="317"/>
      <c r="B457" s="201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</row>
    <row r="458" ht="17.25" customHeight="1">
      <c r="A458" s="317"/>
      <c r="B458" s="201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</row>
    <row r="459" ht="17.25" customHeight="1">
      <c r="A459" s="317"/>
      <c r="B459" s="201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</row>
    <row r="460" ht="17.25" customHeight="1">
      <c r="A460" s="317"/>
      <c r="B460" s="201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</row>
    <row r="461" ht="17.25" customHeight="1">
      <c r="A461" s="317"/>
      <c r="B461" s="201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</row>
    <row r="462" ht="17.25" customHeight="1">
      <c r="A462" s="317"/>
      <c r="B462" s="201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</row>
    <row r="463" ht="17.25" customHeight="1">
      <c r="A463" s="317"/>
      <c r="B463" s="201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</row>
    <row r="464" ht="17.25" customHeight="1">
      <c r="A464" s="317"/>
      <c r="B464" s="201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</row>
    <row r="465" ht="17.25" customHeight="1">
      <c r="A465" s="317"/>
      <c r="B465" s="201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</row>
    <row r="466" ht="17.25" customHeight="1">
      <c r="A466" s="317"/>
      <c r="B466" s="201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</row>
    <row r="467" ht="17.25" customHeight="1">
      <c r="A467" s="317"/>
      <c r="B467" s="201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</row>
    <row r="468" ht="17.25" customHeight="1">
      <c r="A468" s="317"/>
      <c r="B468" s="201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</row>
    <row r="469" ht="17.25" customHeight="1">
      <c r="A469" s="317"/>
      <c r="B469" s="201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</row>
    <row r="470" ht="17.25" customHeight="1">
      <c r="A470" s="317"/>
      <c r="B470" s="201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</row>
    <row r="471" ht="17.25" customHeight="1">
      <c r="A471" s="317"/>
      <c r="B471" s="201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</row>
    <row r="472" ht="17.25" customHeight="1">
      <c r="A472" s="317"/>
      <c r="B472" s="201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</row>
    <row r="473" ht="17.25" customHeight="1">
      <c r="A473" s="317"/>
      <c r="B473" s="201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</row>
    <row r="474" ht="17.25" customHeight="1">
      <c r="A474" s="317"/>
      <c r="B474" s="201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</row>
    <row r="475" ht="17.25" customHeight="1">
      <c r="A475" s="317"/>
      <c r="B475" s="201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</row>
    <row r="476" ht="17.25" customHeight="1">
      <c r="A476" s="317"/>
      <c r="B476" s="201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</row>
    <row r="477" ht="17.25" customHeight="1">
      <c r="A477" s="317"/>
      <c r="B477" s="201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</row>
    <row r="478" ht="17.25" customHeight="1">
      <c r="A478" s="317"/>
      <c r="B478" s="201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</row>
    <row r="479" ht="17.25" customHeight="1">
      <c r="A479" s="317"/>
      <c r="B479" s="201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</row>
    <row r="480" ht="17.25" customHeight="1">
      <c r="A480" s="317"/>
      <c r="B480" s="201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</row>
    <row r="481" ht="17.25" customHeight="1">
      <c r="A481" s="317"/>
      <c r="B481" s="201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</row>
    <row r="482" ht="17.25" customHeight="1">
      <c r="A482" s="317"/>
      <c r="B482" s="201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</row>
    <row r="483" ht="17.25" customHeight="1">
      <c r="A483" s="317"/>
      <c r="B483" s="201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</row>
    <row r="484" ht="17.25" customHeight="1">
      <c r="A484" s="317"/>
      <c r="B484" s="201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</row>
    <row r="485" ht="17.25" customHeight="1">
      <c r="A485" s="317"/>
      <c r="B485" s="201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</row>
    <row r="486" ht="17.25" customHeight="1">
      <c r="A486" s="317"/>
      <c r="B486" s="201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</row>
    <row r="487" ht="17.25" customHeight="1">
      <c r="A487" s="317"/>
      <c r="B487" s="201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</row>
    <row r="488" ht="17.25" customHeight="1">
      <c r="A488" s="317"/>
      <c r="B488" s="201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</row>
    <row r="489" ht="17.25" customHeight="1">
      <c r="A489" s="317"/>
      <c r="B489" s="201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</row>
    <row r="490" ht="17.25" customHeight="1">
      <c r="A490" s="317"/>
      <c r="B490" s="201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</row>
    <row r="491" ht="17.25" customHeight="1">
      <c r="A491" s="317"/>
      <c r="B491" s="201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</row>
    <row r="492" ht="17.25" customHeight="1">
      <c r="A492" s="317"/>
      <c r="B492" s="201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</row>
    <row r="493" ht="17.25" customHeight="1">
      <c r="A493" s="317"/>
      <c r="B493" s="201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</row>
    <row r="494" ht="17.25" customHeight="1">
      <c r="A494" s="317"/>
      <c r="B494" s="201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</row>
    <row r="495" ht="17.25" customHeight="1">
      <c r="A495" s="317"/>
      <c r="B495" s="201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</row>
    <row r="496" ht="17.25" customHeight="1">
      <c r="A496" s="317"/>
      <c r="B496" s="201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</row>
    <row r="497" ht="17.25" customHeight="1">
      <c r="A497" s="317"/>
      <c r="B497" s="201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</row>
    <row r="498" ht="17.25" customHeight="1">
      <c r="A498" s="317"/>
      <c r="B498" s="201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</row>
    <row r="499" ht="17.25" customHeight="1">
      <c r="A499" s="317"/>
      <c r="B499" s="201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</row>
    <row r="500" ht="17.25" customHeight="1">
      <c r="A500" s="317"/>
      <c r="B500" s="201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</row>
    <row r="501" ht="17.25" customHeight="1">
      <c r="A501" s="317"/>
      <c r="B501" s="201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</row>
    <row r="502" ht="17.25" customHeight="1">
      <c r="A502" s="317"/>
      <c r="B502" s="201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</row>
    <row r="503" ht="17.25" customHeight="1">
      <c r="A503" s="317"/>
      <c r="B503" s="201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</row>
    <row r="504" ht="17.25" customHeight="1">
      <c r="A504" s="317"/>
      <c r="B504" s="201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</row>
    <row r="505" ht="17.25" customHeight="1">
      <c r="A505" s="317"/>
      <c r="B505" s="201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</row>
    <row r="506" ht="17.25" customHeight="1">
      <c r="A506" s="317"/>
      <c r="B506" s="201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</row>
    <row r="507" ht="17.25" customHeight="1">
      <c r="A507" s="317"/>
      <c r="B507" s="201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</row>
    <row r="508" ht="17.25" customHeight="1">
      <c r="A508" s="317"/>
      <c r="B508" s="201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</row>
    <row r="509" ht="17.25" customHeight="1">
      <c r="A509" s="317"/>
      <c r="B509" s="201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</row>
    <row r="510" ht="17.25" customHeight="1">
      <c r="A510" s="317"/>
      <c r="B510" s="201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</row>
    <row r="511" ht="17.25" customHeight="1">
      <c r="A511" s="317"/>
      <c r="B511" s="201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</row>
    <row r="512" ht="17.25" customHeight="1">
      <c r="A512" s="317"/>
      <c r="B512" s="201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</row>
    <row r="513" ht="17.25" customHeight="1">
      <c r="A513" s="317"/>
      <c r="B513" s="201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</row>
    <row r="514" ht="17.25" customHeight="1">
      <c r="A514" s="317"/>
      <c r="B514" s="201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</row>
    <row r="515" ht="17.25" customHeight="1">
      <c r="A515" s="317"/>
      <c r="B515" s="201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</row>
    <row r="516" ht="17.25" customHeight="1">
      <c r="A516" s="317"/>
      <c r="B516" s="201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</row>
    <row r="517" ht="17.25" customHeight="1">
      <c r="A517" s="317"/>
      <c r="B517" s="201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</row>
    <row r="518" ht="17.25" customHeight="1">
      <c r="A518" s="317"/>
      <c r="B518" s="201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</row>
    <row r="519" ht="17.25" customHeight="1">
      <c r="A519" s="317"/>
      <c r="B519" s="201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</row>
    <row r="520" ht="17.25" customHeight="1">
      <c r="A520" s="317"/>
      <c r="B520" s="201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</row>
    <row r="521" ht="17.25" customHeight="1">
      <c r="A521" s="317"/>
      <c r="B521" s="201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</row>
    <row r="522" ht="17.25" customHeight="1">
      <c r="A522" s="317"/>
      <c r="B522" s="201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</row>
    <row r="523" ht="17.25" customHeight="1">
      <c r="A523" s="317"/>
      <c r="B523" s="201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</row>
    <row r="524" ht="17.25" customHeight="1">
      <c r="A524" s="317"/>
      <c r="B524" s="201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</row>
    <row r="525" ht="17.25" customHeight="1">
      <c r="A525" s="317"/>
      <c r="B525" s="201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</row>
    <row r="526" ht="17.25" customHeight="1">
      <c r="A526" s="317"/>
      <c r="B526" s="201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</row>
    <row r="527" ht="17.25" customHeight="1">
      <c r="A527" s="317"/>
      <c r="B527" s="201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</row>
    <row r="528" ht="17.25" customHeight="1">
      <c r="A528" s="317"/>
      <c r="B528" s="201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</row>
    <row r="529" ht="17.25" customHeight="1">
      <c r="A529" s="317"/>
      <c r="B529" s="201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</row>
    <row r="530" ht="17.25" customHeight="1">
      <c r="A530" s="317"/>
      <c r="B530" s="201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</row>
    <row r="531" ht="17.25" customHeight="1">
      <c r="A531" s="317"/>
      <c r="B531" s="201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</row>
    <row r="532" ht="17.25" customHeight="1">
      <c r="A532" s="317"/>
      <c r="B532" s="201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</row>
    <row r="533" ht="17.25" customHeight="1">
      <c r="A533" s="317"/>
      <c r="B533" s="201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</row>
    <row r="534" ht="17.25" customHeight="1">
      <c r="A534" s="317"/>
      <c r="B534" s="201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</row>
    <row r="535" ht="17.25" customHeight="1">
      <c r="A535" s="317"/>
      <c r="B535" s="201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</row>
    <row r="536" ht="17.25" customHeight="1">
      <c r="A536" s="317"/>
      <c r="B536" s="201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</row>
    <row r="537" ht="17.25" customHeight="1">
      <c r="A537" s="317"/>
      <c r="B537" s="201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</row>
    <row r="538" ht="17.25" customHeight="1">
      <c r="A538" s="317"/>
      <c r="B538" s="201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</row>
    <row r="539" ht="17.25" customHeight="1">
      <c r="A539" s="317"/>
      <c r="B539" s="201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</row>
    <row r="540" ht="17.25" customHeight="1">
      <c r="A540" s="317"/>
      <c r="B540" s="201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</row>
    <row r="541" ht="17.25" customHeight="1">
      <c r="A541" s="317"/>
      <c r="B541" s="201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</row>
    <row r="542" ht="17.25" customHeight="1">
      <c r="A542" s="317"/>
      <c r="B542" s="201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</row>
    <row r="543" ht="17.25" customHeight="1">
      <c r="A543" s="317"/>
      <c r="B543" s="201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</row>
    <row r="544" ht="17.25" customHeight="1">
      <c r="A544" s="317"/>
      <c r="B544" s="201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</row>
    <row r="545" ht="17.25" customHeight="1">
      <c r="A545" s="317"/>
      <c r="B545" s="201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</row>
    <row r="546" ht="17.25" customHeight="1">
      <c r="A546" s="317"/>
      <c r="B546" s="201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</row>
    <row r="547" ht="17.25" customHeight="1">
      <c r="A547" s="317"/>
      <c r="B547" s="201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</row>
    <row r="548" ht="17.25" customHeight="1">
      <c r="A548" s="317"/>
      <c r="B548" s="201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</row>
    <row r="549" ht="17.25" customHeight="1">
      <c r="A549" s="317"/>
      <c r="B549" s="201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</row>
    <row r="550" ht="17.25" customHeight="1">
      <c r="A550" s="317"/>
      <c r="B550" s="201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</row>
    <row r="551" ht="17.25" customHeight="1">
      <c r="A551" s="317"/>
      <c r="B551" s="201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</row>
    <row r="552" ht="17.25" customHeight="1">
      <c r="A552" s="317"/>
      <c r="B552" s="201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</row>
    <row r="553" ht="17.25" customHeight="1">
      <c r="A553" s="317"/>
      <c r="B553" s="201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</row>
    <row r="554" ht="17.25" customHeight="1">
      <c r="A554" s="317"/>
      <c r="B554" s="201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</row>
    <row r="555" ht="17.25" customHeight="1">
      <c r="A555" s="317"/>
      <c r="B555" s="201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</row>
    <row r="556" ht="17.25" customHeight="1">
      <c r="A556" s="317"/>
      <c r="B556" s="201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</row>
    <row r="557" ht="17.25" customHeight="1">
      <c r="A557" s="317"/>
      <c r="B557" s="201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</row>
    <row r="558" ht="17.25" customHeight="1">
      <c r="A558" s="317"/>
      <c r="B558" s="201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</row>
    <row r="559" ht="17.25" customHeight="1">
      <c r="A559" s="317"/>
      <c r="B559" s="201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</row>
    <row r="560" ht="17.25" customHeight="1">
      <c r="A560" s="317"/>
      <c r="B560" s="201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</row>
    <row r="561" ht="17.25" customHeight="1">
      <c r="A561" s="317"/>
      <c r="B561" s="201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</row>
    <row r="562" ht="17.25" customHeight="1">
      <c r="A562" s="317"/>
      <c r="B562" s="201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</row>
    <row r="563" ht="17.25" customHeight="1">
      <c r="A563" s="317"/>
      <c r="B563" s="201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</row>
    <row r="564" ht="17.25" customHeight="1">
      <c r="A564" s="317"/>
      <c r="B564" s="201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</row>
    <row r="565" ht="17.25" customHeight="1">
      <c r="A565" s="317"/>
      <c r="B565" s="201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</row>
    <row r="566" ht="17.25" customHeight="1">
      <c r="A566" s="317"/>
      <c r="B566" s="201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</row>
    <row r="567" ht="17.25" customHeight="1">
      <c r="A567" s="317"/>
      <c r="B567" s="201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</row>
    <row r="568" ht="17.25" customHeight="1">
      <c r="A568" s="317"/>
      <c r="B568" s="201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</row>
    <row r="569" ht="17.25" customHeight="1">
      <c r="A569" s="317"/>
      <c r="B569" s="201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</row>
    <row r="570" ht="17.25" customHeight="1">
      <c r="A570" s="317"/>
      <c r="B570" s="201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</row>
    <row r="571" ht="17.25" customHeight="1">
      <c r="A571" s="317"/>
      <c r="B571" s="201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</row>
    <row r="572" ht="17.25" customHeight="1">
      <c r="A572" s="317"/>
      <c r="B572" s="201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</row>
    <row r="573" ht="17.25" customHeight="1">
      <c r="A573" s="317"/>
      <c r="B573" s="201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</row>
    <row r="574" ht="17.25" customHeight="1">
      <c r="A574" s="317"/>
      <c r="B574" s="201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</row>
    <row r="575" ht="17.25" customHeight="1">
      <c r="A575" s="317"/>
      <c r="B575" s="201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</row>
    <row r="576" ht="17.25" customHeight="1">
      <c r="A576" s="317"/>
      <c r="B576" s="201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</row>
    <row r="577" ht="17.25" customHeight="1">
      <c r="A577" s="317"/>
      <c r="B577" s="201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</row>
    <row r="578" ht="17.25" customHeight="1">
      <c r="A578" s="317"/>
      <c r="B578" s="201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</row>
    <row r="579" ht="17.25" customHeight="1">
      <c r="A579" s="317"/>
      <c r="B579" s="201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</row>
    <row r="580" ht="17.25" customHeight="1">
      <c r="A580" s="317"/>
      <c r="B580" s="201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</row>
    <row r="581" ht="17.25" customHeight="1">
      <c r="A581" s="317"/>
      <c r="B581" s="201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</row>
    <row r="582" ht="17.25" customHeight="1">
      <c r="A582" s="317"/>
      <c r="B582" s="201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</row>
    <row r="583" ht="17.25" customHeight="1">
      <c r="A583" s="317"/>
      <c r="B583" s="201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</row>
    <row r="584" ht="17.25" customHeight="1">
      <c r="A584" s="317"/>
      <c r="B584" s="201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</row>
    <row r="585" ht="17.25" customHeight="1">
      <c r="A585" s="317"/>
      <c r="B585" s="201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</row>
    <row r="586" ht="17.25" customHeight="1">
      <c r="A586" s="317"/>
      <c r="B586" s="201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</row>
    <row r="587" ht="17.25" customHeight="1">
      <c r="A587" s="317"/>
      <c r="B587" s="201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</row>
    <row r="588" ht="17.25" customHeight="1">
      <c r="A588" s="317"/>
      <c r="B588" s="201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</row>
    <row r="589" ht="17.25" customHeight="1">
      <c r="A589" s="317"/>
      <c r="B589" s="201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</row>
    <row r="590" ht="17.25" customHeight="1">
      <c r="A590" s="317"/>
      <c r="B590" s="201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</row>
    <row r="591" ht="17.25" customHeight="1">
      <c r="A591" s="317"/>
      <c r="B591" s="201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</row>
    <row r="592" ht="17.25" customHeight="1">
      <c r="A592" s="317"/>
      <c r="B592" s="201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</row>
    <row r="593" ht="17.25" customHeight="1">
      <c r="A593" s="317"/>
      <c r="B593" s="201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</row>
    <row r="594" ht="17.25" customHeight="1">
      <c r="A594" s="317"/>
      <c r="B594" s="201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</row>
    <row r="595" ht="17.25" customHeight="1">
      <c r="A595" s="317"/>
      <c r="B595" s="201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</row>
    <row r="596" ht="17.25" customHeight="1">
      <c r="A596" s="317"/>
      <c r="B596" s="201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</row>
    <row r="597" ht="17.25" customHeight="1">
      <c r="A597" s="317"/>
      <c r="B597" s="201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</row>
    <row r="598" ht="17.25" customHeight="1">
      <c r="A598" s="317"/>
      <c r="B598" s="201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</row>
    <row r="599" ht="17.25" customHeight="1">
      <c r="A599" s="317"/>
      <c r="B599" s="201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</row>
    <row r="600" ht="17.25" customHeight="1">
      <c r="A600" s="317"/>
      <c r="B600" s="201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</row>
    <row r="601" ht="17.25" customHeight="1">
      <c r="A601" s="317"/>
      <c r="B601" s="201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</row>
    <row r="602" ht="17.25" customHeight="1">
      <c r="A602" s="317"/>
      <c r="B602" s="201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</row>
    <row r="603" ht="17.25" customHeight="1">
      <c r="A603" s="317"/>
      <c r="B603" s="201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</row>
    <row r="604" ht="17.25" customHeight="1">
      <c r="A604" s="317"/>
      <c r="B604" s="201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</row>
    <row r="605" ht="17.25" customHeight="1">
      <c r="A605" s="317"/>
      <c r="B605" s="201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</row>
    <row r="606" ht="17.25" customHeight="1">
      <c r="A606" s="317"/>
      <c r="B606" s="201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</row>
    <row r="607" ht="17.25" customHeight="1">
      <c r="A607" s="317"/>
      <c r="B607" s="201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</row>
    <row r="608" ht="17.25" customHeight="1">
      <c r="A608" s="317"/>
      <c r="B608" s="201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</row>
    <row r="609" ht="17.25" customHeight="1">
      <c r="A609" s="317"/>
      <c r="B609" s="201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</row>
    <row r="610" ht="17.25" customHeight="1">
      <c r="A610" s="317"/>
      <c r="B610" s="201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</row>
    <row r="611" ht="17.25" customHeight="1">
      <c r="A611" s="317"/>
      <c r="B611" s="201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</row>
    <row r="612" ht="17.25" customHeight="1">
      <c r="A612" s="317"/>
      <c r="B612" s="201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</row>
    <row r="613" ht="17.25" customHeight="1">
      <c r="A613" s="317"/>
      <c r="B613" s="201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</row>
    <row r="614" ht="17.25" customHeight="1">
      <c r="A614" s="317"/>
      <c r="B614" s="201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</row>
    <row r="615" ht="17.25" customHeight="1">
      <c r="A615" s="317"/>
      <c r="B615" s="201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</row>
    <row r="616" ht="17.25" customHeight="1">
      <c r="A616" s="317"/>
      <c r="B616" s="201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</row>
    <row r="617" ht="17.25" customHeight="1">
      <c r="A617" s="317"/>
      <c r="B617" s="201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</row>
    <row r="618" ht="17.25" customHeight="1">
      <c r="A618" s="317"/>
      <c r="B618" s="201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</row>
    <row r="619" ht="17.25" customHeight="1">
      <c r="A619" s="317"/>
      <c r="B619" s="201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</row>
    <row r="620" ht="17.25" customHeight="1">
      <c r="A620" s="317"/>
      <c r="B620" s="201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</row>
    <row r="621" ht="17.25" customHeight="1">
      <c r="A621" s="317"/>
      <c r="B621" s="201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</row>
    <row r="622" ht="17.25" customHeight="1">
      <c r="A622" s="317"/>
      <c r="B622" s="201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</row>
    <row r="623" ht="17.25" customHeight="1">
      <c r="A623" s="317"/>
      <c r="B623" s="201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</row>
    <row r="624" ht="17.25" customHeight="1">
      <c r="A624" s="317"/>
      <c r="B624" s="201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</row>
    <row r="625" ht="17.25" customHeight="1">
      <c r="A625" s="317"/>
      <c r="B625" s="201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</row>
    <row r="626" ht="17.25" customHeight="1">
      <c r="A626" s="317"/>
      <c r="B626" s="201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</row>
    <row r="627" ht="17.25" customHeight="1">
      <c r="A627" s="317"/>
      <c r="B627" s="201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</row>
    <row r="628" ht="17.25" customHeight="1">
      <c r="A628" s="317"/>
      <c r="B628" s="201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</row>
    <row r="629" ht="17.25" customHeight="1">
      <c r="A629" s="317"/>
      <c r="B629" s="201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</row>
    <row r="630" ht="17.25" customHeight="1">
      <c r="A630" s="317"/>
      <c r="B630" s="201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</row>
    <row r="631" ht="17.25" customHeight="1">
      <c r="A631" s="317"/>
      <c r="B631" s="201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</row>
    <row r="632" ht="17.25" customHeight="1">
      <c r="A632" s="317"/>
      <c r="B632" s="201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</row>
    <row r="633" ht="17.25" customHeight="1">
      <c r="A633" s="317"/>
      <c r="B633" s="201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</row>
    <row r="634" ht="17.25" customHeight="1">
      <c r="A634" s="317"/>
      <c r="B634" s="201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</row>
    <row r="635" ht="17.25" customHeight="1">
      <c r="A635" s="317"/>
      <c r="B635" s="201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</row>
    <row r="636" ht="17.25" customHeight="1">
      <c r="A636" s="317"/>
      <c r="B636" s="201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</row>
    <row r="637" ht="17.25" customHeight="1">
      <c r="A637" s="317"/>
      <c r="B637" s="201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</row>
    <row r="638" ht="17.25" customHeight="1">
      <c r="A638" s="317"/>
      <c r="B638" s="201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</row>
    <row r="639" ht="17.25" customHeight="1">
      <c r="A639" s="317"/>
      <c r="B639" s="201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</row>
    <row r="640" ht="17.25" customHeight="1">
      <c r="A640" s="317"/>
      <c r="B640" s="201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</row>
    <row r="641" ht="17.25" customHeight="1">
      <c r="A641" s="317"/>
      <c r="B641" s="201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</row>
    <row r="642" ht="17.25" customHeight="1">
      <c r="A642" s="317"/>
      <c r="B642" s="201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</row>
    <row r="643" ht="17.25" customHeight="1">
      <c r="A643" s="317"/>
      <c r="B643" s="201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</row>
    <row r="644" ht="17.25" customHeight="1">
      <c r="A644" s="317"/>
      <c r="B644" s="201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</row>
    <row r="645" ht="17.25" customHeight="1">
      <c r="A645" s="317"/>
      <c r="B645" s="201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</row>
    <row r="646" ht="17.25" customHeight="1">
      <c r="A646" s="317"/>
      <c r="B646" s="201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</row>
    <row r="647" ht="17.25" customHeight="1">
      <c r="A647" s="317"/>
      <c r="B647" s="201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</row>
    <row r="648" ht="17.25" customHeight="1">
      <c r="A648" s="317"/>
      <c r="B648" s="201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</row>
    <row r="649" ht="17.25" customHeight="1">
      <c r="A649" s="317"/>
      <c r="B649" s="201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</row>
    <row r="650" ht="17.25" customHeight="1">
      <c r="A650" s="317"/>
      <c r="B650" s="201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</row>
    <row r="651" ht="17.25" customHeight="1">
      <c r="A651" s="317"/>
      <c r="B651" s="201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</row>
    <row r="652" ht="17.25" customHeight="1">
      <c r="A652" s="317"/>
      <c r="B652" s="201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</row>
    <row r="653" ht="17.25" customHeight="1">
      <c r="A653" s="317"/>
      <c r="B653" s="201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</row>
    <row r="654" ht="17.25" customHeight="1">
      <c r="A654" s="317"/>
      <c r="B654" s="201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</row>
    <row r="655" ht="17.25" customHeight="1">
      <c r="A655" s="317"/>
      <c r="B655" s="201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</row>
    <row r="656" ht="17.25" customHeight="1">
      <c r="A656" s="317"/>
      <c r="B656" s="201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</row>
    <row r="657" ht="17.25" customHeight="1">
      <c r="A657" s="317"/>
      <c r="B657" s="201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</row>
    <row r="658" ht="17.25" customHeight="1">
      <c r="A658" s="317"/>
      <c r="B658" s="201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</row>
    <row r="659" ht="17.25" customHeight="1">
      <c r="A659" s="317"/>
      <c r="B659" s="201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</row>
    <row r="660" ht="17.25" customHeight="1">
      <c r="A660" s="317"/>
      <c r="B660" s="201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</row>
    <row r="661" ht="17.25" customHeight="1">
      <c r="A661" s="317"/>
      <c r="B661" s="201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</row>
    <row r="662" ht="17.25" customHeight="1">
      <c r="A662" s="317"/>
      <c r="B662" s="201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</row>
    <row r="663" ht="17.25" customHeight="1">
      <c r="A663" s="317"/>
      <c r="B663" s="201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</row>
    <row r="664" ht="17.25" customHeight="1">
      <c r="A664" s="317"/>
      <c r="B664" s="201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</row>
    <row r="665" ht="17.25" customHeight="1">
      <c r="A665" s="317"/>
      <c r="B665" s="201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</row>
    <row r="666" ht="17.25" customHeight="1">
      <c r="A666" s="317"/>
      <c r="B666" s="201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</row>
    <row r="667" ht="17.25" customHeight="1">
      <c r="A667" s="317"/>
      <c r="B667" s="201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</row>
    <row r="668" ht="17.25" customHeight="1">
      <c r="A668" s="317"/>
      <c r="B668" s="201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</row>
    <row r="669" ht="17.25" customHeight="1">
      <c r="A669" s="317"/>
      <c r="B669" s="201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</row>
    <row r="670" ht="17.25" customHeight="1">
      <c r="A670" s="317"/>
      <c r="B670" s="201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</row>
    <row r="671" ht="17.25" customHeight="1">
      <c r="A671" s="317"/>
      <c r="B671" s="201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</row>
    <row r="672" ht="17.25" customHeight="1">
      <c r="A672" s="317"/>
      <c r="B672" s="201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</row>
    <row r="673" ht="17.25" customHeight="1">
      <c r="A673" s="317"/>
      <c r="B673" s="201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</row>
    <row r="674" ht="17.25" customHeight="1">
      <c r="A674" s="317"/>
      <c r="B674" s="201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</row>
    <row r="675" ht="17.25" customHeight="1">
      <c r="A675" s="317"/>
      <c r="B675" s="201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</row>
    <row r="676" ht="17.25" customHeight="1">
      <c r="A676" s="317"/>
      <c r="B676" s="201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</row>
    <row r="677" ht="17.25" customHeight="1">
      <c r="A677" s="317"/>
      <c r="B677" s="201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</row>
    <row r="678" ht="17.25" customHeight="1">
      <c r="A678" s="317"/>
      <c r="B678" s="201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</row>
    <row r="679" ht="17.25" customHeight="1">
      <c r="A679" s="317"/>
      <c r="B679" s="201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</row>
    <row r="680" ht="17.25" customHeight="1">
      <c r="A680" s="317"/>
      <c r="B680" s="201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</row>
    <row r="681" ht="17.25" customHeight="1">
      <c r="A681" s="317"/>
      <c r="B681" s="201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</row>
    <row r="682" ht="17.25" customHeight="1">
      <c r="A682" s="317"/>
      <c r="B682" s="201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</row>
    <row r="683" ht="17.25" customHeight="1">
      <c r="A683" s="317"/>
      <c r="B683" s="201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</row>
    <row r="684" ht="17.25" customHeight="1">
      <c r="A684" s="317"/>
      <c r="B684" s="201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</row>
    <row r="685" ht="17.25" customHeight="1">
      <c r="A685" s="317"/>
      <c r="B685" s="201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</row>
    <row r="686" ht="17.25" customHeight="1">
      <c r="A686" s="317"/>
      <c r="B686" s="201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</row>
    <row r="687" ht="17.25" customHeight="1">
      <c r="A687" s="317"/>
      <c r="B687" s="201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</row>
    <row r="688" ht="17.25" customHeight="1">
      <c r="A688" s="317"/>
      <c r="B688" s="201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</row>
    <row r="689" ht="17.25" customHeight="1">
      <c r="A689" s="317"/>
      <c r="B689" s="201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</row>
    <row r="690" ht="17.25" customHeight="1">
      <c r="A690" s="317"/>
      <c r="B690" s="201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</row>
    <row r="691" ht="17.25" customHeight="1">
      <c r="A691" s="317"/>
      <c r="B691" s="201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</row>
    <row r="692" ht="17.25" customHeight="1">
      <c r="A692" s="317"/>
      <c r="B692" s="201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</row>
    <row r="693" ht="17.25" customHeight="1">
      <c r="A693" s="317"/>
      <c r="B693" s="201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</row>
    <row r="694" ht="17.25" customHeight="1">
      <c r="A694" s="317"/>
      <c r="B694" s="201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</row>
    <row r="695" ht="17.25" customHeight="1">
      <c r="A695" s="317"/>
      <c r="B695" s="201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</row>
    <row r="696" ht="17.25" customHeight="1">
      <c r="A696" s="317"/>
      <c r="B696" s="201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</row>
    <row r="697" ht="17.25" customHeight="1">
      <c r="A697" s="317"/>
      <c r="B697" s="201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</row>
    <row r="698" ht="17.25" customHeight="1">
      <c r="A698" s="317"/>
      <c r="B698" s="201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</row>
    <row r="699" ht="17.25" customHeight="1">
      <c r="A699" s="317"/>
      <c r="B699" s="201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</row>
    <row r="700" ht="17.25" customHeight="1">
      <c r="A700" s="317"/>
      <c r="B700" s="201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</row>
    <row r="701" ht="17.25" customHeight="1">
      <c r="A701" s="317"/>
      <c r="B701" s="201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</row>
    <row r="702" ht="17.25" customHeight="1">
      <c r="A702" s="317"/>
      <c r="B702" s="201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</row>
    <row r="703" ht="17.25" customHeight="1">
      <c r="A703" s="317"/>
      <c r="B703" s="201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</row>
    <row r="704" ht="17.25" customHeight="1">
      <c r="A704" s="317"/>
      <c r="B704" s="201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</row>
    <row r="705" ht="17.25" customHeight="1">
      <c r="A705" s="317"/>
      <c r="B705" s="201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</row>
    <row r="706" ht="17.25" customHeight="1">
      <c r="A706" s="317"/>
      <c r="B706" s="201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</row>
    <row r="707" ht="17.25" customHeight="1">
      <c r="A707" s="317"/>
      <c r="B707" s="201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</row>
    <row r="708" ht="17.25" customHeight="1">
      <c r="A708" s="317"/>
      <c r="B708" s="201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</row>
    <row r="709" ht="17.25" customHeight="1">
      <c r="A709" s="317"/>
      <c r="B709" s="201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</row>
    <row r="710" ht="17.25" customHeight="1">
      <c r="A710" s="317"/>
      <c r="B710" s="201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</row>
    <row r="711" ht="17.25" customHeight="1">
      <c r="A711" s="317"/>
      <c r="B711" s="201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</row>
    <row r="712" ht="17.25" customHeight="1">
      <c r="A712" s="317"/>
      <c r="B712" s="201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</row>
    <row r="713" ht="17.25" customHeight="1">
      <c r="A713" s="317"/>
      <c r="B713" s="201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</row>
    <row r="714" ht="17.25" customHeight="1">
      <c r="A714" s="317"/>
      <c r="B714" s="201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</row>
    <row r="715" ht="17.25" customHeight="1">
      <c r="A715" s="317"/>
      <c r="B715" s="201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</row>
    <row r="716" ht="17.25" customHeight="1">
      <c r="A716" s="317"/>
      <c r="B716" s="201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</row>
    <row r="717" ht="17.25" customHeight="1">
      <c r="A717" s="317"/>
      <c r="B717" s="201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</row>
    <row r="718" ht="17.25" customHeight="1">
      <c r="A718" s="317"/>
      <c r="B718" s="201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</row>
    <row r="719" ht="17.25" customHeight="1">
      <c r="A719" s="317"/>
      <c r="B719" s="201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</row>
    <row r="720" ht="17.25" customHeight="1">
      <c r="A720" s="317"/>
      <c r="B720" s="201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</row>
    <row r="721" ht="17.25" customHeight="1">
      <c r="A721" s="317"/>
      <c r="B721" s="201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</row>
    <row r="722" ht="17.25" customHeight="1">
      <c r="A722" s="317"/>
      <c r="B722" s="201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</row>
    <row r="723" ht="17.25" customHeight="1">
      <c r="A723" s="317"/>
      <c r="B723" s="201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</row>
    <row r="724" ht="17.25" customHeight="1">
      <c r="A724" s="317"/>
      <c r="B724" s="201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</row>
    <row r="725" ht="17.25" customHeight="1">
      <c r="A725" s="317"/>
      <c r="B725" s="201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</row>
    <row r="726" ht="17.25" customHeight="1">
      <c r="A726" s="317"/>
      <c r="B726" s="201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</row>
    <row r="727" ht="17.25" customHeight="1">
      <c r="A727" s="317"/>
      <c r="B727" s="201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</row>
    <row r="728" ht="17.25" customHeight="1">
      <c r="A728" s="317"/>
      <c r="B728" s="201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</row>
    <row r="729" ht="17.25" customHeight="1">
      <c r="A729" s="317"/>
      <c r="B729" s="201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</row>
    <row r="730" ht="17.25" customHeight="1">
      <c r="A730" s="317"/>
      <c r="B730" s="201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</row>
    <row r="731" ht="17.25" customHeight="1">
      <c r="A731" s="317"/>
      <c r="B731" s="201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</row>
    <row r="732" ht="17.25" customHeight="1">
      <c r="A732" s="317"/>
      <c r="B732" s="201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</row>
    <row r="733" ht="17.25" customHeight="1">
      <c r="A733" s="317"/>
      <c r="B733" s="201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</row>
    <row r="734" ht="17.25" customHeight="1">
      <c r="A734" s="317"/>
      <c r="B734" s="201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</row>
    <row r="735" ht="17.25" customHeight="1">
      <c r="A735" s="317"/>
      <c r="B735" s="201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</row>
    <row r="736" ht="17.25" customHeight="1">
      <c r="A736" s="317"/>
      <c r="B736" s="201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</row>
    <row r="737" ht="17.25" customHeight="1">
      <c r="A737" s="317"/>
      <c r="B737" s="201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</row>
    <row r="738" ht="17.25" customHeight="1">
      <c r="A738" s="317"/>
      <c r="B738" s="201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</row>
    <row r="739" ht="17.25" customHeight="1">
      <c r="A739" s="317"/>
      <c r="B739" s="201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</row>
    <row r="740" ht="17.25" customHeight="1">
      <c r="A740" s="317"/>
      <c r="B740" s="201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</row>
    <row r="741" ht="17.25" customHeight="1">
      <c r="A741" s="317"/>
      <c r="B741" s="201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</row>
    <row r="742" ht="17.25" customHeight="1">
      <c r="A742" s="317"/>
      <c r="B742" s="201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</row>
    <row r="743" ht="17.25" customHeight="1">
      <c r="A743" s="317"/>
      <c r="B743" s="201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</row>
    <row r="744" ht="17.25" customHeight="1">
      <c r="A744" s="317"/>
      <c r="B744" s="201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</row>
    <row r="745" ht="17.25" customHeight="1">
      <c r="A745" s="317"/>
      <c r="B745" s="201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</row>
    <row r="746" ht="17.25" customHeight="1">
      <c r="A746" s="317"/>
      <c r="B746" s="201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</row>
    <row r="747" ht="17.25" customHeight="1">
      <c r="A747" s="317"/>
      <c r="B747" s="201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</row>
    <row r="748" ht="17.25" customHeight="1">
      <c r="A748" s="317"/>
      <c r="B748" s="201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</row>
    <row r="749" ht="17.25" customHeight="1">
      <c r="A749" s="317"/>
      <c r="B749" s="201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</row>
    <row r="750" ht="17.25" customHeight="1">
      <c r="A750" s="317"/>
      <c r="B750" s="201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</row>
    <row r="751" ht="17.25" customHeight="1">
      <c r="A751" s="317"/>
      <c r="B751" s="201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</row>
    <row r="752" ht="17.25" customHeight="1">
      <c r="A752" s="317"/>
      <c r="B752" s="201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</row>
    <row r="753" ht="17.25" customHeight="1">
      <c r="A753" s="317"/>
      <c r="B753" s="201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</row>
    <row r="754" ht="17.25" customHeight="1">
      <c r="A754" s="317"/>
      <c r="B754" s="201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</row>
    <row r="755" ht="17.25" customHeight="1">
      <c r="A755" s="317"/>
      <c r="B755" s="201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</row>
    <row r="756" ht="17.25" customHeight="1">
      <c r="A756" s="317"/>
      <c r="B756" s="201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</row>
    <row r="757" ht="17.25" customHeight="1">
      <c r="A757" s="317"/>
      <c r="B757" s="201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</row>
    <row r="758" ht="17.25" customHeight="1">
      <c r="A758" s="317"/>
      <c r="B758" s="201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</row>
    <row r="759" ht="17.25" customHeight="1">
      <c r="A759" s="317"/>
      <c r="B759" s="201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</row>
    <row r="760" ht="17.25" customHeight="1">
      <c r="A760" s="317"/>
      <c r="B760" s="201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</row>
    <row r="761" ht="17.25" customHeight="1">
      <c r="A761" s="317"/>
      <c r="B761" s="201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</row>
    <row r="762" ht="17.25" customHeight="1">
      <c r="A762" s="317"/>
      <c r="B762" s="201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</row>
    <row r="763" ht="17.25" customHeight="1">
      <c r="A763" s="317"/>
      <c r="B763" s="201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</row>
    <row r="764" ht="17.25" customHeight="1">
      <c r="A764" s="317"/>
      <c r="B764" s="201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</row>
    <row r="765" ht="17.25" customHeight="1">
      <c r="A765" s="317"/>
      <c r="B765" s="201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</row>
    <row r="766" ht="17.25" customHeight="1">
      <c r="A766" s="317"/>
      <c r="B766" s="201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</row>
    <row r="767" ht="17.25" customHeight="1">
      <c r="A767" s="317"/>
      <c r="B767" s="201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</row>
    <row r="768" ht="17.25" customHeight="1">
      <c r="A768" s="317"/>
      <c r="B768" s="201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</row>
    <row r="769" ht="17.25" customHeight="1">
      <c r="A769" s="317"/>
      <c r="B769" s="201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</row>
    <row r="770" ht="17.25" customHeight="1">
      <c r="A770" s="317"/>
      <c r="B770" s="201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</row>
    <row r="771" ht="17.25" customHeight="1">
      <c r="A771" s="317"/>
      <c r="B771" s="201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</row>
    <row r="772" ht="17.25" customHeight="1">
      <c r="A772" s="317"/>
      <c r="B772" s="201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</row>
    <row r="773" ht="17.25" customHeight="1">
      <c r="A773" s="317"/>
      <c r="B773" s="201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</row>
    <row r="774" ht="17.25" customHeight="1">
      <c r="A774" s="317"/>
      <c r="B774" s="201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</row>
    <row r="775" ht="17.25" customHeight="1">
      <c r="A775" s="317"/>
      <c r="B775" s="201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</row>
    <row r="776" ht="17.25" customHeight="1">
      <c r="A776" s="317"/>
      <c r="B776" s="201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</row>
    <row r="777" ht="17.25" customHeight="1">
      <c r="A777" s="317"/>
      <c r="B777" s="201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</row>
    <row r="778" ht="17.25" customHeight="1">
      <c r="A778" s="317"/>
      <c r="B778" s="201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</row>
    <row r="779" ht="17.25" customHeight="1">
      <c r="A779" s="317"/>
      <c r="B779" s="201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</row>
    <row r="780" ht="17.25" customHeight="1">
      <c r="A780" s="317"/>
      <c r="B780" s="201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</row>
    <row r="781" ht="17.25" customHeight="1">
      <c r="A781" s="317"/>
      <c r="B781" s="201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</row>
    <row r="782" ht="17.25" customHeight="1">
      <c r="A782" s="317"/>
      <c r="B782" s="201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</row>
    <row r="783" ht="17.25" customHeight="1">
      <c r="A783" s="317"/>
      <c r="B783" s="201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</row>
    <row r="784" ht="17.25" customHeight="1">
      <c r="A784" s="317"/>
      <c r="B784" s="201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</row>
    <row r="785" ht="17.25" customHeight="1">
      <c r="A785" s="317"/>
      <c r="B785" s="201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</row>
    <row r="786" ht="17.25" customHeight="1">
      <c r="A786" s="317"/>
      <c r="B786" s="201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</row>
    <row r="787" ht="17.25" customHeight="1">
      <c r="A787" s="317"/>
      <c r="B787" s="201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</row>
    <row r="788" ht="17.25" customHeight="1">
      <c r="A788" s="317"/>
      <c r="B788" s="201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</row>
    <row r="789" ht="17.25" customHeight="1">
      <c r="A789" s="317"/>
      <c r="B789" s="201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</row>
    <row r="790" ht="17.25" customHeight="1">
      <c r="A790" s="317"/>
      <c r="B790" s="201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</row>
    <row r="791" ht="17.25" customHeight="1">
      <c r="A791" s="317"/>
      <c r="B791" s="201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</row>
    <row r="792" ht="17.25" customHeight="1">
      <c r="A792" s="317"/>
      <c r="B792" s="201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</row>
    <row r="793" ht="17.25" customHeight="1">
      <c r="A793" s="317"/>
      <c r="B793" s="201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</row>
    <row r="794" ht="17.25" customHeight="1">
      <c r="A794" s="317"/>
      <c r="B794" s="201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</row>
    <row r="795" ht="17.25" customHeight="1">
      <c r="A795" s="317"/>
      <c r="B795" s="201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</row>
    <row r="796" ht="17.25" customHeight="1">
      <c r="A796" s="317"/>
      <c r="B796" s="201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</row>
    <row r="797" ht="17.25" customHeight="1">
      <c r="A797" s="317"/>
      <c r="B797" s="201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</row>
    <row r="798" ht="17.25" customHeight="1">
      <c r="A798" s="317"/>
      <c r="B798" s="201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</row>
    <row r="799" ht="17.25" customHeight="1">
      <c r="A799" s="317"/>
      <c r="B799" s="201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</row>
    <row r="800" ht="17.25" customHeight="1">
      <c r="A800" s="317"/>
      <c r="B800" s="201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</row>
    <row r="801" ht="17.25" customHeight="1">
      <c r="A801" s="317"/>
      <c r="B801" s="201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</row>
    <row r="802" ht="17.25" customHeight="1">
      <c r="A802" s="317"/>
      <c r="B802" s="201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</row>
    <row r="803" ht="17.25" customHeight="1">
      <c r="A803" s="317"/>
      <c r="B803" s="201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</row>
    <row r="804" ht="17.25" customHeight="1">
      <c r="A804" s="317"/>
      <c r="B804" s="201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</row>
    <row r="805" ht="17.25" customHeight="1">
      <c r="A805" s="317"/>
      <c r="B805" s="201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</row>
    <row r="806" ht="17.25" customHeight="1">
      <c r="A806" s="317"/>
      <c r="B806" s="201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</row>
    <row r="807" ht="17.25" customHeight="1">
      <c r="A807" s="317"/>
      <c r="B807" s="201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</row>
    <row r="808" ht="17.25" customHeight="1">
      <c r="A808" s="317"/>
      <c r="B808" s="201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</row>
    <row r="809" ht="17.25" customHeight="1">
      <c r="A809" s="317"/>
      <c r="B809" s="201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</row>
    <row r="810" ht="17.25" customHeight="1">
      <c r="A810" s="317"/>
      <c r="B810" s="201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</row>
    <row r="811" ht="17.25" customHeight="1">
      <c r="A811" s="317"/>
      <c r="B811" s="201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</row>
    <row r="812" ht="17.25" customHeight="1">
      <c r="A812" s="317"/>
      <c r="B812" s="201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</row>
    <row r="813" ht="17.25" customHeight="1">
      <c r="A813" s="317"/>
      <c r="B813" s="201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</row>
    <row r="814" ht="17.25" customHeight="1">
      <c r="A814" s="317"/>
      <c r="B814" s="201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</row>
    <row r="815" ht="17.25" customHeight="1">
      <c r="A815" s="317"/>
      <c r="B815" s="201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</row>
    <row r="816" ht="17.25" customHeight="1">
      <c r="A816" s="317"/>
      <c r="B816" s="201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</row>
    <row r="817" ht="17.25" customHeight="1">
      <c r="A817" s="317"/>
      <c r="B817" s="201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</row>
    <row r="818" ht="17.25" customHeight="1">
      <c r="A818" s="317"/>
      <c r="B818" s="201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</row>
    <row r="819" ht="17.25" customHeight="1">
      <c r="A819" s="317"/>
      <c r="B819" s="201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</row>
    <row r="820" ht="17.25" customHeight="1">
      <c r="A820" s="317"/>
      <c r="B820" s="201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</row>
    <row r="821" ht="17.25" customHeight="1">
      <c r="A821" s="317"/>
      <c r="B821" s="201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</row>
    <row r="822" ht="17.25" customHeight="1">
      <c r="A822" s="317"/>
      <c r="B822" s="201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</row>
    <row r="823" ht="17.25" customHeight="1">
      <c r="A823" s="317"/>
      <c r="B823" s="201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</row>
    <row r="824" ht="17.25" customHeight="1">
      <c r="A824" s="317"/>
      <c r="B824" s="201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</row>
    <row r="825" ht="17.25" customHeight="1">
      <c r="A825" s="317"/>
      <c r="B825" s="201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</row>
    <row r="826" ht="17.25" customHeight="1">
      <c r="A826" s="317"/>
      <c r="B826" s="201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</row>
    <row r="827" ht="17.25" customHeight="1">
      <c r="A827" s="317"/>
      <c r="B827" s="201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</row>
    <row r="828" ht="17.25" customHeight="1">
      <c r="A828" s="317"/>
      <c r="B828" s="201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</row>
    <row r="829" ht="17.25" customHeight="1">
      <c r="A829" s="317"/>
      <c r="B829" s="201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</row>
    <row r="830" ht="17.25" customHeight="1">
      <c r="A830" s="317"/>
      <c r="B830" s="201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</row>
    <row r="831" ht="17.25" customHeight="1">
      <c r="A831" s="317"/>
      <c r="B831" s="201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</row>
    <row r="832" ht="17.25" customHeight="1">
      <c r="A832" s="317"/>
      <c r="B832" s="201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</row>
    <row r="833" ht="17.25" customHeight="1">
      <c r="A833" s="317"/>
      <c r="B833" s="201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</row>
    <row r="834" ht="17.25" customHeight="1">
      <c r="A834" s="317"/>
      <c r="B834" s="201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</row>
    <row r="835" ht="17.25" customHeight="1">
      <c r="A835" s="317"/>
      <c r="B835" s="201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</row>
    <row r="836" ht="17.25" customHeight="1">
      <c r="A836" s="317"/>
      <c r="B836" s="201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</row>
    <row r="837" ht="17.25" customHeight="1">
      <c r="A837" s="317"/>
      <c r="B837" s="201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</row>
    <row r="838" ht="17.25" customHeight="1">
      <c r="A838" s="317"/>
      <c r="B838" s="201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</row>
    <row r="839" ht="17.25" customHeight="1">
      <c r="A839" s="317"/>
      <c r="B839" s="201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</row>
    <row r="840" ht="17.25" customHeight="1">
      <c r="A840" s="317"/>
      <c r="B840" s="201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</row>
    <row r="841" ht="17.25" customHeight="1">
      <c r="A841" s="317"/>
      <c r="B841" s="201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</row>
    <row r="842" ht="17.25" customHeight="1">
      <c r="A842" s="317"/>
      <c r="B842" s="201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</row>
    <row r="843" ht="17.25" customHeight="1">
      <c r="A843" s="317"/>
      <c r="B843" s="201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</row>
    <row r="844" ht="17.25" customHeight="1">
      <c r="A844" s="317"/>
      <c r="B844" s="201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</row>
    <row r="845" ht="17.25" customHeight="1">
      <c r="A845" s="317"/>
      <c r="B845" s="201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</row>
    <row r="846" ht="17.25" customHeight="1">
      <c r="A846" s="317"/>
      <c r="B846" s="201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</row>
    <row r="847" ht="17.25" customHeight="1">
      <c r="A847" s="317"/>
      <c r="B847" s="201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</row>
    <row r="848" ht="17.25" customHeight="1">
      <c r="A848" s="317"/>
      <c r="B848" s="201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</row>
    <row r="849" ht="17.25" customHeight="1">
      <c r="A849" s="317"/>
      <c r="B849" s="201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</row>
    <row r="850" ht="17.25" customHeight="1">
      <c r="A850" s="317"/>
      <c r="B850" s="201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</row>
    <row r="851" ht="17.25" customHeight="1">
      <c r="A851" s="317"/>
      <c r="B851" s="201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</row>
    <row r="852" ht="17.25" customHeight="1">
      <c r="A852" s="317"/>
      <c r="B852" s="201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</row>
    <row r="853" ht="17.25" customHeight="1">
      <c r="A853" s="317"/>
      <c r="B853" s="201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</row>
    <row r="854" ht="17.25" customHeight="1">
      <c r="A854" s="317"/>
      <c r="B854" s="201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</row>
    <row r="855" ht="17.25" customHeight="1">
      <c r="A855" s="317"/>
      <c r="B855" s="201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</row>
    <row r="856" ht="17.25" customHeight="1">
      <c r="A856" s="317"/>
      <c r="B856" s="201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</row>
    <row r="857" ht="17.25" customHeight="1">
      <c r="A857" s="317"/>
      <c r="B857" s="201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</row>
    <row r="858" ht="17.25" customHeight="1">
      <c r="A858" s="317"/>
      <c r="B858" s="201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</row>
    <row r="859" ht="17.25" customHeight="1">
      <c r="A859" s="317"/>
      <c r="B859" s="201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</row>
    <row r="860" ht="17.25" customHeight="1">
      <c r="A860" s="317"/>
      <c r="B860" s="201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</row>
    <row r="861" ht="17.25" customHeight="1">
      <c r="A861" s="317"/>
      <c r="B861" s="201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</row>
    <row r="862" ht="17.25" customHeight="1">
      <c r="A862" s="317"/>
      <c r="B862" s="201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</row>
    <row r="863" ht="17.25" customHeight="1">
      <c r="A863" s="317"/>
      <c r="B863" s="201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</row>
    <row r="864" ht="17.25" customHeight="1">
      <c r="A864" s="317"/>
      <c r="B864" s="201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</row>
    <row r="865" ht="17.25" customHeight="1">
      <c r="A865" s="317"/>
      <c r="B865" s="201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</row>
    <row r="866" ht="17.25" customHeight="1">
      <c r="A866" s="317"/>
      <c r="B866" s="201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</row>
    <row r="867" ht="17.25" customHeight="1">
      <c r="A867" s="317"/>
      <c r="B867" s="201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</row>
    <row r="868" ht="17.25" customHeight="1">
      <c r="A868" s="317"/>
      <c r="B868" s="201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</row>
    <row r="869" ht="17.25" customHeight="1">
      <c r="A869" s="317"/>
      <c r="B869" s="201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</row>
    <row r="870" ht="17.25" customHeight="1">
      <c r="A870" s="317"/>
      <c r="B870" s="201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</row>
    <row r="871" ht="17.25" customHeight="1">
      <c r="A871" s="317"/>
      <c r="B871" s="201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</row>
    <row r="872" ht="17.25" customHeight="1">
      <c r="A872" s="317"/>
      <c r="B872" s="201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</row>
    <row r="873" ht="17.25" customHeight="1">
      <c r="A873" s="317"/>
      <c r="B873" s="201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</row>
    <row r="874" ht="17.25" customHeight="1">
      <c r="A874" s="317"/>
      <c r="B874" s="201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</row>
    <row r="875" ht="17.25" customHeight="1">
      <c r="A875" s="317"/>
      <c r="B875" s="201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</row>
    <row r="876" ht="17.25" customHeight="1">
      <c r="A876" s="317"/>
      <c r="B876" s="201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</row>
    <row r="877" ht="17.25" customHeight="1">
      <c r="A877" s="317"/>
      <c r="B877" s="201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</row>
    <row r="878" ht="17.25" customHeight="1">
      <c r="A878" s="317"/>
      <c r="B878" s="201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</row>
    <row r="879" ht="17.25" customHeight="1">
      <c r="A879" s="317"/>
      <c r="B879" s="201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</row>
    <row r="880" ht="17.25" customHeight="1">
      <c r="A880" s="317"/>
      <c r="B880" s="201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</row>
    <row r="881" ht="17.25" customHeight="1">
      <c r="A881" s="317"/>
      <c r="B881" s="201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</row>
    <row r="882" ht="17.25" customHeight="1">
      <c r="A882" s="317"/>
      <c r="B882" s="201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</row>
    <row r="883" ht="17.25" customHeight="1">
      <c r="A883" s="317"/>
      <c r="B883" s="201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</row>
    <row r="884" ht="17.25" customHeight="1">
      <c r="A884" s="317"/>
      <c r="B884" s="201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</row>
    <row r="885" ht="17.25" customHeight="1">
      <c r="A885" s="317"/>
      <c r="B885" s="201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</row>
    <row r="886" ht="17.25" customHeight="1">
      <c r="A886" s="317"/>
      <c r="B886" s="201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</row>
    <row r="887" ht="17.25" customHeight="1">
      <c r="A887" s="317"/>
      <c r="B887" s="201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</row>
    <row r="888" ht="17.25" customHeight="1">
      <c r="A888" s="317"/>
      <c r="B888" s="201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</row>
    <row r="889" ht="17.25" customHeight="1">
      <c r="A889" s="317"/>
      <c r="B889" s="201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</row>
    <row r="890" ht="17.25" customHeight="1">
      <c r="A890" s="317"/>
      <c r="B890" s="201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</row>
    <row r="891" ht="17.25" customHeight="1">
      <c r="A891" s="317"/>
      <c r="B891" s="201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</row>
    <row r="892" ht="17.25" customHeight="1">
      <c r="A892" s="317"/>
      <c r="B892" s="201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</row>
    <row r="893" ht="17.25" customHeight="1">
      <c r="A893" s="317"/>
      <c r="B893" s="201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</row>
    <row r="894" ht="17.25" customHeight="1">
      <c r="A894" s="317"/>
      <c r="B894" s="201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</row>
    <row r="895" ht="17.25" customHeight="1">
      <c r="A895" s="317"/>
      <c r="B895" s="201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</row>
    <row r="896" ht="17.25" customHeight="1">
      <c r="A896" s="317"/>
      <c r="B896" s="201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</row>
    <row r="897" ht="17.25" customHeight="1">
      <c r="A897" s="317"/>
      <c r="B897" s="201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</row>
    <row r="898" ht="17.25" customHeight="1">
      <c r="A898" s="317"/>
      <c r="B898" s="201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</row>
    <row r="899" ht="17.25" customHeight="1">
      <c r="A899" s="317"/>
      <c r="B899" s="201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</row>
    <row r="900" ht="17.25" customHeight="1">
      <c r="A900" s="317"/>
      <c r="B900" s="201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</row>
    <row r="901" ht="17.25" customHeight="1">
      <c r="A901" s="317"/>
      <c r="B901" s="201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</row>
    <row r="902" ht="17.25" customHeight="1">
      <c r="A902" s="317"/>
      <c r="B902" s="201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</row>
    <row r="903" ht="17.25" customHeight="1">
      <c r="A903" s="317"/>
      <c r="B903" s="201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</row>
    <row r="904" ht="17.25" customHeight="1">
      <c r="A904" s="317"/>
      <c r="B904" s="201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</row>
    <row r="905" ht="17.25" customHeight="1">
      <c r="A905" s="317"/>
      <c r="B905" s="201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</row>
    <row r="906" ht="17.25" customHeight="1">
      <c r="A906" s="317"/>
      <c r="B906" s="201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</row>
    <row r="907" ht="17.25" customHeight="1">
      <c r="A907" s="317"/>
      <c r="B907" s="201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</row>
    <row r="908" ht="17.25" customHeight="1">
      <c r="A908" s="317"/>
      <c r="B908" s="201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</row>
    <row r="909" ht="17.25" customHeight="1">
      <c r="A909" s="317"/>
      <c r="B909" s="201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</row>
    <row r="910" ht="17.25" customHeight="1">
      <c r="A910" s="317"/>
      <c r="B910" s="201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</row>
    <row r="911" ht="17.25" customHeight="1">
      <c r="A911" s="317"/>
      <c r="B911" s="201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</row>
    <row r="912" ht="17.25" customHeight="1">
      <c r="A912" s="317"/>
      <c r="B912" s="201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</row>
    <row r="913" ht="17.25" customHeight="1">
      <c r="A913" s="317"/>
      <c r="B913" s="201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</row>
    <row r="914" ht="17.25" customHeight="1">
      <c r="A914" s="317"/>
      <c r="B914" s="201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</row>
    <row r="915" ht="17.25" customHeight="1">
      <c r="A915" s="317"/>
      <c r="B915" s="201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</row>
    <row r="916" ht="17.25" customHeight="1">
      <c r="A916" s="317"/>
      <c r="B916" s="201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</row>
    <row r="917" ht="17.25" customHeight="1">
      <c r="A917" s="317"/>
      <c r="B917" s="201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</row>
    <row r="918" ht="17.25" customHeight="1">
      <c r="A918" s="317"/>
      <c r="B918" s="201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</row>
    <row r="919" ht="17.25" customHeight="1">
      <c r="A919" s="317"/>
      <c r="B919" s="201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</row>
    <row r="920" ht="17.25" customHeight="1">
      <c r="A920" s="317"/>
      <c r="B920" s="201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</row>
    <row r="921" ht="17.25" customHeight="1">
      <c r="A921" s="317"/>
      <c r="B921" s="201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</row>
    <row r="922" ht="17.25" customHeight="1">
      <c r="A922" s="317"/>
      <c r="B922" s="201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</row>
    <row r="923" ht="17.25" customHeight="1">
      <c r="A923" s="317"/>
      <c r="B923" s="201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</row>
    <row r="924" ht="17.25" customHeight="1">
      <c r="A924" s="317"/>
      <c r="B924" s="201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</row>
    <row r="925" ht="17.25" customHeight="1">
      <c r="A925" s="317"/>
      <c r="B925" s="201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</row>
    <row r="926" ht="17.25" customHeight="1">
      <c r="A926" s="317"/>
      <c r="B926" s="201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</row>
    <row r="927" ht="17.25" customHeight="1">
      <c r="A927" s="317"/>
      <c r="B927" s="201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</row>
    <row r="928" ht="17.25" customHeight="1">
      <c r="A928" s="317"/>
      <c r="B928" s="201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</row>
    <row r="929" ht="17.25" customHeight="1">
      <c r="A929" s="317"/>
      <c r="B929" s="201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</row>
    <row r="930" ht="17.25" customHeight="1">
      <c r="A930" s="317"/>
      <c r="B930" s="201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</row>
    <row r="931" ht="17.25" customHeight="1">
      <c r="A931" s="317"/>
      <c r="B931" s="201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</row>
    <row r="932" ht="17.25" customHeight="1">
      <c r="A932" s="317"/>
      <c r="B932" s="201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</row>
    <row r="933" ht="17.25" customHeight="1">
      <c r="A933" s="317"/>
      <c r="B933" s="201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</row>
    <row r="934" ht="17.25" customHeight="1">
      <c r="A934" s="317"/>
      <c r="B934" s="201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</row>
    <row r="935" ht="17.25" customHeight="1">
      <c r="A935" s="317"/>
      <c r="B935" s="201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</row>
    <row r="936" ht="17.25" customHeight="1">
      <c r="A936" s="317"/>
      <c r="B936" s="201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</row>
    <row r="937" ht="17.25" customHeight="1">
      <c r="A937" s="317"/>
      <c r="B937" s="201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</row>
    <row r="938" ht="17.25" customHeight="1">
      <c r="A938" s="317"/>
      <c r="B938" s="201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</row>
    <row r="939" ht="17.25" customHeight="1">
      <c r="A939" s="317"/>
      <c r="B939" s="201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</row>
    <row r="940" ht="17.25" customHeight="1">
      <c r="A940" s="317"/>
      <c r="B940" s="201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</row>
    <row r="941" ht="17.25" customHeight="1">
      <c r="A941" s="317"/>
      <c r="B941" s="201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</row>
    <row r="942" ht="17.25" customHeight="1">
      <c r="A942" s="317"/>
      <c r="B942" s="201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</row>
    <row r="943" ht="17.25" customHeight="1">
      <c r="A943" s="317"/>
      <c r="B943" s="201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</row>
    <row r="944" ht="17.25" customHeight="1">
      <c r="A944" s="317"/>
      <c r="B944" s="201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</row>
    <row r="945" ht="17.25" customHeight="1">
      <c r="A945" s="317"/>
      <c r="B945" s="201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</row>
    <row r="946" ht="17.25" customHeight="1">
      <c r="A946" s="317"/>
      <c r="B946" s="201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</row>
    <row r="947" ht="17.25" customHeight="1">
      <c r="A947" s="317"/>
      <c r="B947" s="201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</row>
    <row r="948" ht="17.25" customHeight="1">
      <c r="A948" s="317"/>
      <c r="B948" s="201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</row>
    <row r="949" ht="17.25" customHeight="1">
      <c r="A949" s="317"/>
      <c r="B949" s="201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</row>
    <row r="950" ht="17.25" customHeight="1">
      <c r="A950" s="317"/>
      <c r="B950" s="201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</row>
    <row r="951" ht="17.25" customHeight="1">
      <c r="A951" s="317"/>
      <c r="B951" s="201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</row>
    <row r="952" ht="17.25" customHeight="1">
      <c r="A952" s="317"/>
      <c r="B952" s="201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</row>
    <row r="953" ht="17.25" customHeight="1">
      <c r="A953" s="317"/>
      <c r="B953" s="201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</row>
    <row r="954" ht="17.25" customHeight="1">
      <c r="A954" s="317"/>
      <c r="B954" s="201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</row>
    <row r="955" ht="17.25" customHeight="1">
      <c r="A955" s="317"/>
      <c r="B955" s="201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</row>
    <row r="956" ht="17.25" customHeight="1">
      <c r="A956" s="317"/>
      <c r="B956" s="201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</row>
    <row r="957" ht="17.25" customHeight="1">
      <c r="A957" s="317"/>
      <c r="B957" s="201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</row>
    <row r="958" ht="17.25" customHeight="1">
      <c r="A958" s="317"/>
      <c r="B958" s="201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</row>
    <row r="959" ht="17.25" customHeight="1">
      <c r="A959" s="317"/>
      <c r="B959" s="201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</row>
    <row r="960" ht="17.25" customHeight="1">
      <c r="A960" s="317"/>
      <c r="B960" s="201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</row>
    <row r="961" ht="17.25" customHeight="1">
      <c r="A961" s="317"/>
      <c r="B961" s="201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</row>
    <row r="962" ht="17.25" customHeight="1">
      <c r="A962" s="317"/>
      <c r="B962" s="201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</row>
    <row r="963" ht="17.25" customHeight="1">
      <c r="A963" s="317"/>
      <c r="B963" s="201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</row>
    <row r="964" ht="17.25" customHeight="1">
      <c r="A964" s="317"/>
      <c r="B964" s="201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</row>
    <row r="965" ht="17.25" customHeight="1">
      <c r="A965" s="317"/>
      <c r="B965" s="201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</row>
    <row r="966" ht="17.25" customHeight="1">
      <c r="A966" s="317"/>
      <c r="B966" s="201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</row>
    <row r="967" ht="17.25" customHeight="1">
      <c r="A967" s="317"/>
      <c r="B967" s="201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</row>
    <row r="968" ht="17.25" customHeight="1">
      <c r="A968" s="317"/>
      <c r="B968" s="201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</row>
    <row r="969" ht="17.25" customHeight="1">
      <c r="A969" s="317"/>
      <c r="B969" s="201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</row>
    <row r="970" ht="17.25" customHeight="1">
      <c r="A970" s="317"/>
      <c r="B970" s="201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</row>
    <row r="971" ht="17.25" customHeight="1">
      <c r="A971" s="317"/>
      <c r="B971" s="201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</row>
    <row r="972" ht="17.25" customHeight="1">
      <c r="A972" s="317"/>
      <c r="B972" s="201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</row>
    <row r="973" ht="17.25" customHeight="1">
      <c r="A973" s="317"/>
      <c r="B973" s="201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</row>
    <row r="974" ht="17.25" customHeight="1">
      <c r="A974" s="317"/>
      <c r="B974" s="201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</row>
    <row r="975" ht="17.25" customHeight="1">
      <c r="A975" s="317"/>
      <c r="B975" s="201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</row>
    <row r="976" ht="17.25" customHeight="1">
      <c r="A976" s="317"/>
      <c r="B976" s="201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</row>
    <row r="977" ht="17.25" customHeight="1">
      <c r="A977" s="317"/>
      <c r="B977" s="201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</row>
    <row r="978" ht="17.25" customHeight="1">
      <c r="A978" s="317"/>
      <c r="B978" s="201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</row>
    <row r="979" ht="17.25" customHeight="1">
      <c r="A979" s="317"/>
      <c r="B979" s="201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</row>
    <row r="980" ht="17.25" customHeight="1">
      <c r="A980" s="317"/>
      <c r="B980" s="201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</row>
    <row r="981" ht="17.25" customHeight="1">
      <c r="A981" s="317"/>
      <c r="B981" s="201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</row>
    <row r="982" ht="17.25" customHeight="1">
      <c r="A982" s="317"/>
      <c r="B982" s="201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</row>
    <row r="983" ht="17.25" customHeight="1">
      <c r="A983" s="317"/>
      <c r="B983" s="201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</row>
    <row r="984" ht="17.25" customHeight="1">
      <c r="A984" s="317"/>
      <c r="B984" s="201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</row>
    <row r="985" ht="17.25" customHeight="1">
      <c r="A985" s="317"/>
      <c r="B985" s="201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</row>
    <row r="986" ht="17.25" customHeight="1">
      <c r="A986" s="317"/>
      <c r="B986" s="201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</row>
    <row r="987" ht="17.25" customHeight="1">
      <c r="A987" s="317"/>
      <c r="B987" s="201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</row>
    <row r="988" ht="17.25" customHeight="1">
      <c r="A988" s="317"/>
      <c r="B988" s="201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</row>
    <row r="989" ht="17.25" customHeight="1">
      <c r="A989" s="317"/>
      <c r="B989" s="201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</row>
    <row r="990" ht="17.25" customHeight="1">
      <c r="A990" s="317"/>
      <c r="B990" s="201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</row>
    <row r="991" ht="17.25" customHeight="1">
      <c r="A991" s="317"/>
      <c r="B991" s="201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</row>
    <row r="992" ht="17.25" customHeight="1">
      <c r="A992" s="317"/>
      <c r="B992" s="201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</row>
    <row r="993" ht="17.25" customHeight="1">
      <c r="A993" s="317"/>
      <c r="B993" s="201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</row>
    <row r="994" ht="17.25" customHeight="1">
      <c r="A994" s="317"/>
      <c r="B994" s="201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</row>
    <row r="995" ht="17.25" customHeight="1">
      <c r="A995" s="317"/>
      <c r="B995" s="201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</row>
    <row r="996" ht="17.25" customHeight="1">
      <c r="A996" s="317"/>
      <c r="B996" s="201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</row>
    <row r="997" ht="17.25" customHeight="1">
      <c r="A997" s="317"/>
      <c r="B997" s="201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</row>
    <row r="998" ht="17.25" customHeight="1">
      <c r="A998" s="317"/>
      <c r="B998" s="201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</row>
    <row r="999" ht="17.25" customHeight="1">
      <c r="A999" s="317"/>
      <c r="B999" s="201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</row>
    <row r="1000" ht="17.25" customHeight="1">
      <c r="A1000" s="317"/>
      <c r="B1000" s="201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</row>
  </sheetData>
  <dataValidations>
    <dataValidation type="list" allowBlank="1" showErrorMessage="1" sqref="G53:G54">
      <formula1>"A-I,A-II,A-III,A-IIIb,A-IV,A-V,A-VI,A-VII,CI,CII,CIII,CIV"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9.13"/>
    <col customWidth="1" min="2" max="4" width="11.13"/>
    <col customWidth="1" min="5" max="5" width="10.5"/>
    <col customWidth="1" min="6" max="30" width="9.13"/>
  </cols>
  <sheetData>
    <row r="1">
      <c r="A1" s="4"/>
      <c r="B1" s="4"/>
      <c r="C1" s="4"/>
      <c r="D1" s="4"/>
      <c r="E1" s="4"/>
      <c r="F1" s="4"/>
      <c r="G1" s="4"/>
      <c r="H1" s="6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>
      <c r="A2" s="4"/>
      <c r="B2" s="4"/>
      <c r="C2" s="4"/>
      <c r="D2" s="4"/>
      <c r="E2" s="4"/>
      <c r="F2" s="7"/>
      <c r="G2" s="7"/>
      <c r="H2" s="7"/>
      <c r="I2" s="7"/>
      <c r="J2" s="7"/>
      <c r="K2" s="7"/>
      <c r="L2" s="7"/>
      <c r="M2" s="7"/>
      <c r="N2" s="7"/>
      <c r="O2" s="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.0" customHeight="1">
      <c r="A3" s="4"/>
      <c r="B3" s="4"/>
      <c r="C3" s="4"/>
      <c r="D3" s="4"/>
      <c r="E3" s="4"/>
      <c r="F3" s="7"/>
      <c r="G3" s="11" t="s">
        <v>4</v>
      </c>
      <c r="H3" s="12"/>
      <c r="I3" s="12"/>
      <c r="J3" s="12"/>
      <c r="K3" s="12"/>
      <c r="L3" s="12"/>
      <c r="M3" s="12"/>
      <c r="N3" s="13"/>
      <c r="O3" s="7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.0" customHeight="1">
      <c r="A4" s="4"/>
      <c r="B4" s="4"/>
      <c r="C4" s="4"/>
      <c r="D4" s="4"/>
      <c r="E4" s="4"/>
      <c r="F4" s="7"/>
      <c r="G4" s="14"/>
      <c r="H4" s="15"/>
      <c r="I4" s="15"/>
      <c r="J4" s="15"/>
      <c r="K4" s="15"/>
      <c r="L4" s="15"/>
      <c r="M4" s="15"/>
      <c r="N4" s="16"/>
      <c r="O4" s="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>
      <c r="A5" s="4"/>
      <c r="B5" s="4"/>
      <c r="C5" s="4"/>
      <c r="D5" s="4"/>
      <c r="E5" s="4"/>
      <c r="F5" s="7"/>
      <c r="G5" s="19" t="s">
        <v>12</v>
      </c>
      <c r="H5" s="20"/>
      <c r="I5" s="20"/>
      <c r="J5" s="20"/>
      <c r="K5" s="20"/>
      <c r="L5" s="20"/>
      <c r="M5" s="20"/>
      <c r="N5" s="21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>
      <c r="A6" s="4"/>
      <c r="B6" s="4"/>
      <c r="C6" s="4"/>
      <c r="D6" s="4"/>
      <c r="E6" s="4"/>
      <c r="F6" s="7"/>
      <c r="G6" s="14"/>
      <c r="H6" s="15"/>
      <c r="I6" s="15"/>
      <c r="J6" s="15"/>
      <c r="K6" s="15"/>
      <c r="L6" s="15"/>
      <c r="M6" s="15"/>
      <c r="N6" s="16"/>
      <c r="O6" s="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>
      <c r="A7" s="4"/>
      <c r="B7" s="4"/>
      <c r="C7" s="4"/>
      <c r="D7" s="4"/>
      <c r="E7" s="4"/>
      <c r="F7" s="7"/>
      <c r="G7" s="22"/>
      <c r="H7" s="23"/>
      <c r="I7" s="23"/>
      <c r="J7" s="23"/>
      <c r="K7" s="23"/>
      <c r="L7" s="23"/>
      <c r="M7" s="23"/>
      <c r="N7" s="24"/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>
      <c r="A8" s="4"/>
      <c r="B8" s="4"/>
      <c r="C8" s="4"/>
      <c r="D8" s="25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>
      <c r="A9" s="27" t="s">
        <v>20</v>
      </c>
      <c r="B9" s="28" t="s">
        <v>2</v>
      </c>
      <c r="C9" s="4"/>
      <c r="D9" s="2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4"/>
      <c r="B11" s="31" t="s">
        <v>28</v>
      </c>
      <c r="C11" s="31" t="s">
        <v>29</v>
      </c>
      <c r="D11" s="32" t="s">
        <v>30</v>
      </c>
      <c r="E11" s="33"/>
      <c r="F11" s="34"/>
      <c r="G11" s="35" t="s">
        <v>32</v>
      </c>
      <c r="H11" s="33"/>
      <c r="I11" s="32" t="s">
        <v>33</v>
      </c>
      <c r="J11" s="36"/>
      <c r="K11" s="3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>
      <c r="A12" s="4"/>
      <c r="B12" s="38"/>
      <c r="C12" s="38"/>
      <c r="D12" s="39" t="s">
        <v>35</v>
      </c>
      <c r="E12" s="41" t="s">
        <v>36</v>
      </c>
      <c r="F12" s="42" t="s">
        <v>38</v>
      </c>
      <c r="G12" s="43" t="s">
        <v>39</v>
      </c>
      <c r="H12" s="44"/>
      <c r="I12" s="45" t="s">
        <v>41</v>
      </c>
      <c r="J12" s="46"/>
      <c r="K12" s="3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>
      <c r="A13" s="4"/>
      <c r="B13" s="48">
        <v>2.6</v>
      </c>
      <c r="C13" s="50">
        <v>5.4</v>
      </c>
      <c r="D13" s="52">
        <v>400.0</v>
      </c>
      <c r="E13" s="53">
        <v>400.0</v>
      </c>
      <c r="F13" s="54"/>
      <c r="G13" s="56">
        <v>5.5</v>
      </c>
      <c r="H13" s="57"/>
      <c r="I13" s="58" t="s">
        <v>50</v>
      </c>
      <c r="J13" s="59">
        <v>20.0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4"/>
      <c r="B14" s="62" t="str">
        <f t="shared" ref="B14:C14" si="1">IF(B13="","{nhập vào}","")</f>
        <v/>
      </c>
      <c r="C14" s="62" t="str">
        <f t="shared" si="1"/>
        <v/>
      </c>
      <c r="D14" s="63" t="str">
        <f t="shared" ref="D14:E14" si="2">IF(D13="","{chọn}","")</f>
        <v/>
      </c>
      <c r="E14" s="63" t="str">
        <f t="shared" si="2"/>
        <v/>
      </c>
      <c r="F14" s="64"/>
      <c r="G14" s="67" t="str">
        <f>IF(G13="","{nhập vào}","")</f>
        <v/>
      </c>
      <c r="H14" s="64"/>
      <c r="I14" s="64"/>
      <c r="J14" s="69" t="str">
        <f>IF(J13="","{chọn}","")</f>
        <v/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>
      <c r="A15" s="4"/>
      <c r="B15" s="4" t="s">
        <v>56</v>
      </c>
      <c r="C15" s="4"/>
      <c r="D15" s="4"/>
      <c r="E15" s="4"/>
      <c r="F15" s="72">
        <v>1.3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>
      <c r="A16" s="4"/>
      <c r="B16" s="4" t="s">
        <v>57</v>
      </c>
      <c r="C16" s="4"/>
      <c r="D16" s="4"/>
      <c r="E16" s="77">
        <v>3.0</v>
      </c>
      <c r="F16" s="37" t="s">
        <v>58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>
      <c r="A17" s="4"/>
      <c r="B17" s="4" t="s">
        <v>59</v>
      </c>
      <c r="C17" s="4"/>
      <c r="D17" s="4"/>
      <c r="E17" s="78">
        <v>4.0</v>
      </c>
      <c r="F17" s="37" t="s">
        <v>58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>
      <c r="A19" s="4"/>
      <c r="B19" s="4" t="s">
        <v>64</v>
      </c>
      <c r="C19" s="4"/>
      <c r="D19" s="77">
        <v>340.0</v>
      </c>
      <c r="E19" s="4" t="s">
        <v>36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>
      <c r="A20" s="4"/>
      <c r="B20" s="4"/>
      <c r="C20" s="4"/>
      <c r="D20" s="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ht="15.75" customHeight="1">
      <c r="A21" s="4"/>
      <c r="B21" s="80" t="s">
        <v>72</v>
      </c>
      <c r="C21" s="81"/>
      <c r="D21" s="82"/>
      <c r="E21" s="83" t="s">
        <v>74</v>
      </c>
      <c r="F21" s="84" t="s">
        <v>75</v>
      </c>
      <c r="G21" s="85" t="s">
        <v>77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ht="15.75" customHeight="1">
      <c r="A22" s="4"/>
      <c r="B22" s="86"/>
      <c r="C22" s="87"/>
      <c r="D22" s="88"/>
      <c r="E22" s="89" t="s">
        <v>21</v>
      </c>
      <c r="F22" s="90" t="s">
        <v>81</v>
      </c>
      <c r="G22" s="89" t="s">
        <v>82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ht="19.5" customHeight="1">
      <c r="A23" s="4"/>
      <c r="B23" s="94" t="s">
        <v>86</v>
      </c>
      <c r="C23" s="95"/>
      <c r="D23" s="96"/>
      <c r="E23" s="97">
        <v>20.0</v>
      </c>
      <c r="F23" s="97">
        <v>22.0</v>
      </c>
      <c r="G23" s="97">
        <v>1.1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9.5" customHeight="1">
      <c r="A24" s="4"/>
      <c r="B24" s="94" t="s">
        <v>92</v>
      </c>
      <c r="C24" s="95"/>
      <c r="D24" s="96"/>
      <c r="E24" s="97">
        <v>30.0</v>
      </c>
      <c r="F24" s="97">
        <v>20.0</v>
      </c>
      <c r="G24" s="97">
        <v>1.3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ht="19.5" customHeight="1">
      <c r="A25" s="4"/>
      <c r="B25" s="94" t="s">
        <v>99</v>
      </c>
      <c r="C25" s="95"/>
      <c r="D25" s="96"/>
      <c r="E25" s="90" t="s">
        <v>100</v>
      </c>
      <c r="F25" s="97">
        <v>25.0</v>
      </c>
      <c r="G25" s="97">
        <v>1.1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ht="19.5" customHeight="1">
      <c r="A26" s="4"/>
      <c r="B26" s="94" t="s">
        <v>103</v>
      </c>
      <c r="C26" s="95"/>
      <c r="D26" s="96"/>
      <c r="E26" s="97">
        <v>15.0</v>
      </c>
      <c r="F26" s="97">
        <v>20.0</v>
      </c>
      <c r="G26" s="97">
        <v>1.3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17.25" customHeight="1">
      <c r="A28" s="101" t="s">
        <v>107</v>
      </c>
      <c r="B28" s="28" t="s">
        <v>108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15.75" customHeight="1">
      <c r="A29" s="4"/>
      <c r="B29" s="66" t="s">
        <v>113</v>
      </c>
      <c r="C29" s="4"/>
      <c r="D29" s="4"/>
      <c r="E29" s="4"/>
      <c r="F29" s="4"/>
      <c r="G29" s="72" t="s">
        <v>115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15.75" customHeight="1">
      <c r="A30" s="4"/>
      <c r="B30" s="66" t="s">
        <v>116</v>
      </c>
      <c r="C30" s="4"/>
      <c r="D30" s="4"/>
      <c r="E30" s="4"/>
      <c r="F30" s="4"/>
      <c r="G30" s="72" t="s">
        <v>120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15.75" customHeight="1">
      <c r="A32" s="4" t="s">
        <v>129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15.75" customHeight="1">
      <c r="A44" s="4"/>
      <c r="B44" s="10"/>
      <c r="C44" s="10"/>
      <c r="D44" s="4"/>
      <c r="E44" s="4"/>
      <c r="F44" s="1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15.75" customHeight="1">
      <c r="A45" s="4"/>
      <c r="B45" s="10"/>
      <c r="C45" s="10"/>
      <c r="D45" s="10"/>
      <c r="E45" s="10"/>
      <c r="F45" s="10"/>
      <c r="G45" s="1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15.75" customHeight="1">
      <c r="A46" s="4"/>
      <c r="B46" s="10"/>
      <c r="C46" s="10"/>
      <c r="D46" s="10"/>
      <c r="E46" s="10"/>
      <c r="F46" s="10"/>
      <c r="G46" s="1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15.75" customHeight="1">
      <c r="A47" s="4"/>
      <c r="B47" s="10"/>
      <c r="C47" s="10"/>
      <c r="D47" s="10"/>
      <c r="E47" s="10"/>
      <c r="F47" s="10"/>
      <c r="G47" s="1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15.75" customHeight="1">
      <c r="A48" s="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15.75" customHeight="1">
      <c r="A49" s="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mergeCells count="2">
    <mergeCell ref="G3:N4"/>
    <mergeCell ref="G5:N6"/>
  </mergeCells>
  <dataValidations>
    <dataValidation type="list" allowBlank="1" showErrorMessage="1" sqref="F15">
      <formula1>"1,1,1,2,1,3"</formula1>
    </dataValidation>
    <dataValidation type="list" allowBlank="1" showErrorMessage="1" sqref="D19">
      <formula1>"220,335,340"</formula1>
    </dataValidation>
    <dataValidation type="list" allowBlank="1" showErrorMessage="1" sqref="E16:E17">
      <formula1>"2,3,4,5"</formula1>
    </dataValidation>
    <dataValidation type="list" allowBlank="1" showErrorMessage="1" sqref="D13:E13">
      <formula1>"220,300,400,500,600,700"</formula1>
    </dataValidation>
    <dataValidation type="list" allowBlank="1" showErrorMessage="1" sqref="G29:G30">
      <formula1>"A-I,A-II,A-III,A-IIIb,A-IV,A-V,A-VI,A-VII,CI,CII,CIII,CIV"</formula1>
    </dataValidation>
    <dataValidation type="list" allowBlank="1" showErrorMessage="1" sqref="J13">
      <formula1>"12.5,15,20,25,30,35,40,45,50,55,60"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13"/>
    <col customWidth="1" min="2" max="2" width="2.5"/>
    <col customWidth="1" min="3" max="3" width="3.0"/>
    <col customWidth="1" min="4" max="4" width="9.63"/>
    <col customWidth="1" min="5" max="6" width="9.13"/>
    <col customWidth="1" min="7" max="8" width="14.88"/>
    <col customWidth="1" min="9" max="9" width="11.0"/>
    <col customWidth="1" min="10" max="10" width="9.13"/>
    <col customWidth="1" min="11" max="11" width="10.88"/>
    <col customWidth="1" min="12" max="12" width="14.88"/>
    <col customWidth="1" min="13" max="26" width="9.13"/>
  </cols>
  <sheetData>
    <row r="1">
      <c r="A1" s="28" t="s">
        <v>43</v>
      </c>
      <c r="B1" s="28"/>
      <c r="C1" s="28" t="s">
        <v>44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7"/>
      <c r="V1" s="7"/>
      <c r="W1" s="4"/>
      <c r="X1" s="4"/>
      <c r="Y1" s="4"/>
      <c r="Z1" s="4"/>
    </row>
    <row r="2">
      <c r="A2" s="28"/>
      <c r="B2" s="28" t="s">
        <v>6</v>
      </c>
      <c r="C2" s="28" t="s">
        <v>48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/>
      <c r="V2" s="7"/>
      <c r="W2" s="4"/>
      <c r="X2" s="4"/>
      <c r="Y2" s="4"/>
      <c r="Z2" s="4"/>
    </row>
    <row r="3">
      <c r="A3" s="28"/>
      <c r="B3" s="28"/>
      <c r="C3" s="60" t="s">
        <v>51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7"/>
      <c r="V3" s="7"/>
      <c r="W3" s="4"/>
      <c r="X3" s="4"/>
      <c r="Y3" s="4"/>
      <c r="Z3" s="4"/>
    </row>
    <row r="4">
      <c r="A4" s="28"/>
      <c r="B4" s="28"/>
      <c r="C4" s="4"/>
      <c r="D4" s="4"/>
      <c r="E4" s="4"/>
      <c r="F4" s="61">
        <v>1.1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7"/>
      <c r="V4" s="7"/>
      <c r="W4" s="4"/>
      <c r="X4" s="4"/>
      <c r="Y4" s="4"/>
      <c r="Z4" s="4"/>
    </row>
    <row r="5">
      <c r="A5" s="28"/>
      <c r="B5" s="28"/>
      <c r="C5" s="4"/>
      <c r="D5" s="65"/>
      <c r="E5" s="4"/>
      <c r="F5" s="66" t="s">
        <v>52</v>
      </c>
      <c r="G5" s="37">
        <f>'Nhập dữ liệu'!B13*1000</f>
        <v>2600</v>
      </c>
      <c r="H5" s="68" t="s">
        <v>40</v>
      </c>
      <c r="I5" s="70">
        <f>F4*G5/F6</f>
        <v>81.71428571</v>
      </c>
      <c r="J5" s="4" t="s">
        <v>53</v>
      </c>
      <c r="K5" s="4" t="s">
        <v>54</v>
      </c>
      <c r="L5" s="37" t="s">
        <v>55</v>
      </c>
      <c r="M5" s="61">
        <v>90.0</v>
      </c>
      <c r="N5" s="4" t="s">
        <v>17</v>
      </c>
      <c r="O5" s="4"/>
      <c r="P5" s="4"/>
      <c r="Q5" s="4"/>
      <c r="R5" s="4"/>
      <c r="S5" s="4"/>
      <c r="T5" s="4"/>
      <c r="U5" s="71">
        <f>INT(I5)</f>
        <v>81</v>
      </c>
      <c r="V5" s="71">
        <f>MOD(U5,10)</f>
        <v>1</v>
      </c>
      <c r="W5" s="4"/>
      <c r="X5" s="4"/>
      <c r="Y5" s="4"/>
      <c r="Z5" s="4"/>
    </row>
    <row r="6">
      <c r="A6" s="28"/>
      <c r="B6" s="28"/>
      <c r="C6" s="4"/>
      <c r="D6" s="4"/>
      <c r="E6" s="4"/>
      <c r="F6" s="61">
        <v>35.0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7"/>
      <c r="V6" s="7"/>
      <c r="W6" s="4"/>
      <c r="X6" s="4"/>
      <c r="Y6" s="4"/>
      <c r="Z6" s="4"/>
    </row>
    <row r="7">
      <c r="A7" s="28"/>
      <c r="B7" s="28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7"/>
      <c r="V7" s="7"/>
      <c r="W7" s="4"/>
      <c r="X7" s="4"/>
      <c r="Y7" s="4"/>
      <c r="Z7" s="4"/>
    </row>
    <row r="8">
      <c r="A8" s="28"/>
      <c r="B8" s="28"/>
      <c r="C8" s="4"/>
      <c r="D8" s="4" t="s">
        <v>60</v>
      </c>
      <c r="E8" s="4"/>
      <c r="F8" s="4">
        <f>F4</f>
        <v>1.1</v>
      </c>
      <c r="G8" s="4" t="s">
        <v>61</v>
      </c>
      <c r="H8" s="4"/>
      <c r="I8" s="4"/>
      <c r="J8" s="37">
        <f>F6</f>
        <v>35</v>
      </c>
      <c r="K8" s="4" t="s">
        <v>62</v>
      </c>
      <c r="L8" s="4"/>
      <c r="M8" s="4"/>
      <c r="N8" s="4"/>
      <c r="O8" s="4"/>
      <c r="P8" s="4"/>
      <c r="Q8" s="4"/>
      <c r="R8" s="4"/>
      <c r="S8" s="4"/>
      <c r="T8" s="4"/>
      <c r="U8" s="7"/>
      <c r="V8" s="7"/>
      <c r="W8" s="4"/>
      <c r="X8" s="4"/>
      <c r="Y8" s="4"/>
      <c r="Z8" s="4"/>
    </row>
    <row r="9">
      <c r="A9" s="28"/>
      <c r="B9" s="28"/>
      <c r="C9" s="60" t="s">
        <v>63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7"/>
      <c r="V9" s="7"/>
      <c r="W9" s="4"/>
      <c r="X9" s="4"/>
      <c r="Y9" s="4"/>
      <c r="Z9" s="4"/>
    </row>
    <row r="10">
      <c r="A10" s="28"/>
      <c r="B10" s="28"/>
      <c r="C10" s="4"/>
      <c r="D10" s="4"/>
      <c r="E10" s="4"/>
      <c r="F10" s="37">
        <v>1.0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7"/>
      <c r="V10" s="7"/>
      <c r="W10" s="4"/>
      <c r="X10" s="4"/>
      <c r="Y10" s="4"/>
      <c r="Z10" s="4"/>
    </row>
    <row r="11">
      <c r="A11" s="28"/>
      <c r="B11" s="28"/>
      <c r="C11" s="4"/>
      <c r="D11" s="65"/>
      <c r="E11" s="4"/>
      <c r="F11" s="66" t="s">
        <v>52</v>
      </c>
      <c r="G11" s="37">
        <f>'Nhập dữ liệu'!C13*1000</f>
        <v>5400</v>
      </c>
      <c r="H11" s="68" t="s">
        <v>40</v>
      </c>
      <c r="I11" s="70">
        <f>G11/F12</f>
        <v>385.7142857</v>
      </c>
      <c r="J11" s="4" t="s">
        <v>53</v>
      </c>
      <c r="K11" s="4"/>
      <c r="L11" s="4" t="s">
        <v>54</v>
      </c>
      <c r="M11" s="37" t="s">
        <v>69</v>
      </c>
      <c r="N11" s="61">
        <v>500.0</v>
      </c>
      <c r="O11" s="4" t="s">
        <v>53</v>
      </c>
      <c r="P11" s="37" t="s">
        <v>70</v>
      </c>
      <c r="Q11" s="79">
        <v>220.0</v>
      </c>
      <c r="R11" s="4" t="s">
        <v>53</v>
      </c>
      <c r="S11" s="4"/>
      <c r="T11" s="4"/>
      <c r="U11" s="71">
        <f>INT(I11)</f>
        <v>385</v>
      </c>
      <c r="V11" s="71">
        <f>MOD(U11,100)</f>
        <v>85</v>
      </c>
      <c r="W11" s="4"/>
      <c r="X11" s="4"/>
      <c r="Y11" s="4"/>
      <c r="Z11" s="4"/>
    </row>
    <row r="12">
      <c r="A12" s="28"/>
      <c r="B12" s="28"/>
      <c r="C12" s="4"/>
      <c r="D12" s="4"/>
      <c r="E12" s="4"/>
      <c r="F12" s="61">
        <v>14.0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7"/>
      <c r="V12" s="7"/>
      <c r="W12" s="4"/>
      <c r="X12" s="4"/>
      <c r="Y12" s="4"/>
      <c r="Z12" s="4"/>
    </row>
    <row r="13">
      <c r="A13" s="28"/>
      <c r="B13" s="2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7"/>
      <c r="V13" s="7"/>
      <c r="W13" s="4"/>
      <c r="X13" s="4"/>
      <c r="Y13" s="4"/>
      <c r="Z13" s="4"/>
    </row>
    <row r="14">
      <c r="A14" s="28"/>
      <c r="B14" s="28"/>
      <c r="C14" s="60" t="s">
        <v>85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7"/>
      <c r="V14" s="7"/>
      <c r="W14" s="4"/>
      <c r="X14" s="4"/>
      <c r="Y14" s="4"/>
      <c r="Z14" s="4"/>
    </row>
    <row r="15">
      <c r="A15" s="28"/>
      <c r="B15" s="28"/>
      <c r="C15" s="4"/>
      <c r="D15" s="4"/>
      <c r="E15" s="4"/>
      <c r="F15" s="37">
        <v>1.0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7"/>
      <c r="V15" s="7"/>
      <c r="W15" s="4"/>
      <c r="X15" s="4"/>
      <c r="Y15" s="4"/>
      <c r="Z15" s="4"/>
    </row>
    <row r="16">
      <c r="A16" s="28"/>
      <c r="B16" s="28"/>
      <c r="C16" s="4"/>
      <c r="D16" s="65"/>
      <c r="E16" s="4"/>
      <c r="F16" s="66" t="s">
        <v>52</v>
      </c>
      <c r="G16" s="37" t="s">
        <v>93</v>
      </c>
      <c r="H16" s="37">
        <f>'Nhập dữ liệu'!B13*1000</f>
        <v>2600</v>
      </c>
      <c r="I16" s="66" t="s">
        <v>40</v>
      </c>
      <c r="J16" s="98">
        <f>H16*3/F17</f>
        <v>709.0909091</v>
      </c>
      <c r="K16" s="4" t="s">
        <v>96</v>
      </c>
      <c r="L16" s="4" t="s">
        <v>54</v>
      </c>
      <c r="M16" s="37" t="s">
        <v>97</v>
      </c>
      <c r="N16" s="61">
        <v>700.0</v>
      </c>
      <c r="O16" s="4" t="s">
        <v>53</v>
      </c>
      <c r="P16" s="37" t="s">
        <v>98</v>
      </c>
      <c r="Q16" s="79">
        <v>300.0</v>
      </c>
      <c r="R16" s="4" t="s">
        <v>53</v>
      </c>
      <c r="S16" s="4"/>
      <c r="T16" s="4"/>
      <c r="U16" s="71">
        <f>INT(J16)</f>
        <v>709</v>
      </c>
      <c r="V16" s="71">
        <f>MOD(U16,100)</f>
        <v>9</v>
      </c>
      <c r="W16" s="4"/>
      <c r="X16" s="4"/>
      <c r="Y16" s="4"/>
      <c r="Z16" s="4"/>
    </row>
    <row r="17">
      <c r="A17" s="28"/>
      <c r="B17" s="28"/>
      <c r="C17" s="4"/>
      <c r="D17" s="4"/>
      <c r="E17" s="4"/>
      <c r="F17" s="61">
        <v>11.0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7"/>
      <c r="V17" s="7"/>
      <c r="W17" s="4"/>
      <c r="X17" s="4"/>
      <c r="Y17" s="4"/>
      <c r="Z17" s="4"/>
    </row>
    <row r="18">
      <c r="A18" s="28"/>
      <c r="B18" s="2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7"/>
      <c r="V18" s="7"/>
      <c r="W18" s="4"/>
      <c r="X18" s="4"/>
      <c r="Y18" s="4"/>
      <c r="Z18" s="4"/>
    </row>
    <row r="19">
      <c r="A19" s="28"/>
      <c r="B19" s="28" t="s">
        <v>65</v>
      </c>
      <c r="C19" s="28" t="s">
        <v>7</v>
      </c>
      <c r="D19" s="4"/>
      <c r="E19" s="4"/>
      <c r="F19" s="4"/>
      <c r="G19" s="4"/>
      <c r="H19" s="37">
        <f>'Nhập dữ liệu'!C13</f>
        <v>5.4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7"/>
      <c r="V19" s="7"/>
      <c r="W19" s="4"/>
      <c r="X19" s="4"/>
      <c r="Y19" s="4"/>
      <c r="Z19" s="4"/>
    </row>
    <row r="20">
      <c r="A20" s="28"/>
      <c r="B20" s="28"/>
      <c r="C20" s="4"/>
      <c r="D20" s="66" t="s">
        <v>109</v>
      </c>
      <c r="E20" s="4"/>
      <c r="F20" s="4"/>
      <c r="G20" s="65"/>
      <c r="H20" s="68" t="s">
        <v>110</v>
      </c>
      <c r="I20" s="102">
        <f>H19/H21</f>
        <v>2.076923077</v>
      </c>
      <c r="J20" s="4" t="str">
        <f>IF(I20&gt;2,"&gt; 2 , xem bản làm việc theo một phương","xem lại số liệu đầu vào")</f>
        <v>&gt; 2 , xem bản làm việc theo một phương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7"/>
      <c r="V20" s="7"/>
      <c r="W20" s="4"/>
      <c r="X20" s="4"/>
      <c r="Y20" s="4"/>
      <c r="Z20" s="4"/>
    </row>
    <row r="21">
      <c r="A21" s="28"/>
      <c r="B21" s="28"/>
      <c r="C21" s="4"/>
      <c r="D21" s="4"/>
      <c r="E21" s="4"/>
      <c r="F21" s="4"/>
      <c r="G21" s="4"/>
      <c r="H21" s="37">
        <f>'Nhập dữ liệu'!B13</f>
        <v>2.6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7"/>
      <c r="V21" s="7"/>
      <c r="W21" s="4"/>
      <c r="X21" s="4"/>
      <c r="Y21" s="4"/>
      <c r="Z21" s="4"/>
    </row>
    <row r="22">
      <c r="A22" s="28"/>
      <c r="B22" s="28"/>
      <c r="C22" s="4"/>
      <c r="D22" s="66" t="s">
        <v>119</v>
      </c>
      <c r="E22" s="4"/>
      <c r="F22" s="4"/>
      <c r="G22" s="4">
        <v>1000.0</v>
      </c>
      <c r="H22" s="4" t="s">
        <v>121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7"/>
      <c r="V22" s="7"/>
      <c r="W22" s="4"/>
      <c r="X22" s="4"/>
      <c r="Y22" s="4"/>
      <c r="Z22" s="4"/>
    </row>
    <row r="23">
      <c r="A23" s="28"/>
      <c r="B23" s="28"/>
      <c r="C23" s="4"/>
      <c r="D23" s="4" t="s">
        <v>124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7"/>
      <c r="V23" s="7"/>
      <c r="W23" s="4"/>
      <c r="X23" s="4"/>
      <c r="Y23" s="4"/>
      <c r="Z23" s="4"/>
    </row>
    <row r="24">
      <c r="A24" s="28"/>
      <c r="B24" s="28"/>
      <c r="C24" s="28" t="s">
        <v>128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7"/>
      <c r="V24" s="7"/>
      <c r="W24" s="4"/>
      <c r="X24" s="4"/>
      <c r="Y24" s="4"/>
      <c r="Z24" s="4"/>
    </row>
    <row r="25">
      <c r="A25" s="28"/>
      <c r="B25" s="28"/>
      <c r="C25" s="4"/>
      <c r="D25" s="4"/>
      <c r="E25" s="4"/>
      <c r="F25" s="4"/>
      <c r="G25" s="4"/>
      <c r="H25" s="4"/>
      <c r="I25" s="4"/>
      <c r="J25" s="37">
        <f>Q11/1000</f>
        <v>0.22</v>
      </c>
      <c r="K25" s="37">
        <f>'Nhập dữ liệu'!D19/1000</f>
        <v>0.34</v>
      </c>
      <c r="L25" s="37">
        <f>M5/1000</f>
        <v>0.09</v>
      </c>
      <c r="M25" s="37"/>
      <c r="N25" s="4"/>
      <c r="O25" s="4"/>
      <c r="P25" s="4"/>
      <c r="Q25" s="4"/>
      <c r="R25" s="4"/>
      <c r="S25" s="4"/>
      <c r="T25" s="4"/>
      <c r="U25" s="7"/>
      <c r="V25" s="7"/>
      <c r="W25" s="4"/>
      <c r="X25" s="4"/>
      <c r="Y25" s="4"/>
      <c r="Z25" s="4"/>
    </row>
    <row r="26">
      <c r="A26" s="28"/>
      <c r="B26" s="28"/>
      <c r="C26" s="4"/>
      <c r="D26" s="66" t="s">
        <v>139</v>
      </c>
      <c r="E26" s="4"/>
      <c r="F26" s="65"/>
      <c r="G26" s="4"/>
      <c r="H26" s="37"/>
      <c r="I26" s="4">
        <f>'Nhập dữ liệu'!B13</f>
        <v>2.6</v>
      </c>
      <c r="J26" s="66" t="s">
        <v>140</v>
      </c>
      <c r="K26" s="37"/>
      <c r="L26" s="37"/>
      <c r="M26" s="37">
        <f>I26-J25/2-K25/2+L25/2</f>
        <v>2.365</v>
      </c>
      <c r="N26" s="4" t="s">
        <v>133</v>
      </c>
      <c r="O26" s="4"/>
      <c r="P26" s="4"/>
      <c r="Q26" s="4"/>
      <c r="R26" s="4"/>
      <c r="S26" s="4"/>
      <c r="T26" s="4"/>
      <c r="U26" s="7"/>
      <c r="V26" s="7"/>
      <c r="W26" s="4"/>
      <c r="X26" s="4"/>
      <c r="Y26" s="4"/>
      <c r="Z26" s="4"/>
    </row>
    <row r="27">
      <c r="A27" s="28"/>
      <c r="B27" s="28"/>
      <c r="C27" s="4"/>
      <c r="D27" s="4"/>
      <c r="E27" s="4"/>
      <c r="F27" s="4"/>
      <c r="G27" s="4"/>
      <c r="H27" s="4"/>
      <c r="I27" s="4"/>
      <c r="J27" s="37">
        <v>2.0</v>
      </c>
      <c r="K27" s="37">
        <v>2.0</v>
      </c>
      <c r="L27" s="37">
        <v>2.0</v>
      </c>
      <c r="M27" s="37"/>
      <c r="N27" s="4"/>
      <c r="O27" s="4"/>
      <c r="P27" s="4"/>
      <c r="Q27" s="4"/>
      <c r="R27" s="4"/>
      <c r="S27" s="4"/>
      <c r="T27" s="4"/>
      <c r="U27" s="7"/>
      <c r="V27" s="7"/>
      <c r="W27" s="4"/>
      <c r="X27" s="4"/>
      <c r="Y27" s="4"/>
      <c r="Z27" s="4"/>
    </row>
    <row r="28">
      <c r="A28" s="28"/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7"/>
      <c r="V28" s="7"/>
      <c r="W28" s="4"/>
      <c r="X28" s="4"/>
      <c r="Y28" s="4"/>
      <c r="Z28" s="4"/>
    </row>
    <row r="29">
      <c r="A29" s="28"/>
      <c r="B29" s="28"/>
      <c r="C29" s="4"/>
      <c r="D29" s="66" t="s">
        <v>34</v>
      </c>
      <c r="E29" s="4"/>
      <c r="F29" s="4" t="s">
        <v>149</v>
      </c>
      <c r="G29" s="4"/>
      <c r="H29" s="37">
        <f>'Nhập dữ liệu'!B13</f>
        <v>2.6</v>
      </c>
      <c r="I29" s="68" t="s">
        <v>24</v>
      </c>
      <c r="J29" s="37">
        <f>Q11/1000</f>
        <v>0.22</v>
      </c>
      <c r="K29" s="68" t="s">
        <v>40</v>
      </c>
      <c r="L29" s="110">
        <f>H29-J29</f>
        <v>2.38</v>
      </c>
      <c r="M29" s="37" t="s">
        <v>133</v>
      </c>
      <c r="N29" s="37"/>
      <c r="O29" s="4"/>
      <c r="P29" s="4"/>
      <c r="Q29" s="4"/>
      <c r="R29" s="4"/>
      <c r="S29" s="4"/>
      <c r="T29" s="4"/>
      <c r="U29" s="7"/>
      <c r="V29" s="7"/>
      <c r="W29" s="4"/>
      <c r="X29" s="4"/>
      <c r="Y29" s="4"/>
      <c r="Z29" s="4"/>
    </row>
    <row r="30">
      <c r="A30" s="28"/>
      <c r="B30" s="28"/>
      <c r="C30" s="4"/>
      <c r="D30" s="4"/>
      <c r="E30" s="4"/>
      <c r="F30" s="4"/>
      <c r="G30" s="4"/>
      <c r="H30" s="115">
        <f>MAX(M26,L29)</f>
        <v>2.38</v>
      </c>
      <c r="I30" s="68" t="s">
        <v>24</v>
      </c>
      <c r="J30" s="117">
        <f>MIN(M26,L29)</f>
        <v>2.365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7"/>
      <c r="V30" s="7"/>
      <c r="W30" s="4"/>
      <c r="X30" s="4"/>
      <c r="Y30" s="4"/>
      <c r="Z30" s="4"/>
    </row>
    <row r="31">
      <c r="A31" s="28"/>
      <c r="B31" s="28"/>
      <c r="C31" s="4"/>
      <c r="D31" s="66" t="s">
        <v>161</v>
      </c>
      <c r="E31" s="4"/>
      <c r="F31" s="4"/>
      <c r="G31" s="4"/>
      <c r="H31" s="66" t="s">
        <v>162</v>
      </c>
      <c r="I31" s="4"/>
      <c r="J31" s="4"/>
      <c r="K31" s="4"/>
      <c r="L31" s="122">
        <f>(H30-J30)/I32</f>
        <v>0.006342494715</v>
      </c>
      <c r="M31" s="4" t="s">
        <v>49</v>
      </c>
      <c r="N31" s="4"/>
      <c r="O31" s="4"/>
      <c r="P31" s="4"/>
      <c r="Q31" s="4"/>
      <c r="R31" s="4"/>
      <c r="S31" s="4"/>
      <c r="T31" s="4"/>
      <c r="U31" s="7"/>
      <c r="V31" s="7"/>
      <c r="W31" s="4"/>
      <c r="X31" s="4"/>
      <c r="Y31" s="4"/>
      <c r="Z31" s="4"/>
    </row>
    <row r="32">
      <c r="A32" s="28"/>
      <c r="B32" s="28"/>
      <c r="C32" s="4"/>
      <c r="D32" s="4"/>
      <c r="E32" s="4"/>
      <c r="F32" s="4"/>
      <c r="G32" s="4"/>
      <c r="H32" s="4"/>
      <c r="I32" s="37">
        <f>M26</f>
        <v>2.365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7"/>
      <c r="V32" s="7"/>
      <c r="W32" s="4"/>
      <c r="X32" s="4"/>
      <c r="Y32" s="4"/>
      <c r="Z32" s="4"/>
    </row>
    <row r="33">
      <c r="A33" s="28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7"/>
      <c r="V33" s="7"/>
      <c r="W33" s="4"/>
      <c r="X33" s="4"/>
      <c r="Y33" s="4"/>
      <c r="Z33" s="4"/>
    </row>
    <row r="34">
      <c r="A34" s="28"/>
      <c r="B34" s="28" t="s">
        <v>165</v>
      </c>
      <c r="C34" s="28" t="s">
        <v>66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7"/>
      <c r="V34" s="7"/>
      <c r="W34" s="4"/>
      <c r="X34" s="4"/>
      <c r="Y34" s="4"/>
      <c r="Z34" s="4"/>
    </row>
    <row r="35">
      <c r="A35" s="28"/>
      <c r="B35" s="28"/>
      <c r="C35" s="4"/>
      <c r="D35" s="4" t="s">
        <v>167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7"/>
      <c r="V35" s="7"/>
      <c r="W35" s="4"/>
      <c r="X35" s="4"/>
      <c r="Y35" s="4"/>
      <c r="Z35" s="4"/>
    </row>
    <row r="36">
      <c r="A36" s="28"/>
      <c r="B36" s="28"/>
      <c r="C36" s="4"/>
      <c r="D36" s="4" t="s">
        <v>168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7"/>
      <c r="V36" s="7"/>
      <c r="W36" s="4"/>
      <c r="X36" s="4"/>
      <c r="Y36" s="4"/>
      <c r="Z36" s="4"/>
    </row>
    <row r="37">
      <c r="A37" s="28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7"/>
      <c r="V37" s="7"/>
      <c r="W37" s="4"/>
      <c r="X37" s="4"/>
      <c r="Y37" s="4"/>
      <c r="Z37" s="4"/>
    </row>
    <row r="38">
      <c r="A38" s="28"/>
      <c r="B38" s="28"/>
      <c r="C38" s="4"/>
      <c r="D38" s="4"/>
      <c r="E38" s="28" t="s">
        <v>171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7"/>
      <c r="V38" s="7"/>
      <c r="W38" s="4"/>
      <c r="X38" s="4"/>
      <c r="Y38" s="4"/>
      <c r="Z38" s="4"/>
    </row>
    <row r="39">
      <c r="A39" s="28"/>
      <c r="B39" s="28"/>
      <c r="C39" s="4"/>
      <c r="D39" s="125"/>
      <c r="E39" s="126"/>
      <c r="F39" s="127"/>
      <c r="G39" s="128" t="s">
        <v>74</v>
      </c>
      <c r="H39" s="129" t="s">
        <v>172</v>
      </c>
      <c r="I39" s="125"/>
      <c r="J39" s="126"/>
      <c r="K39" s="127"/>
      <c r="L39" s="130" t="s">
        <v>77</v>
      </c>
      <c r="M39" s="125"/>
      <c r="N39" s="126"/>
      <c r="O39" s="127"/>
      <c r="P39" s="4"/>
      <c r="Q39" s="4"/>
      <c r="R39" s="4"/>
      <c r="S39" s="4"/>
      <c r="T39" s="4"/>
      <c r="U39" s="7"/>
      <c r="V39" s="7"/>
      <c r="W39" s="4"/>
      <c r="X39" s="4"/>
      <c r="Y39" s="4"/>
      <c r="Z39" s="4"/>
    </row>
    <row r="40">
      <c r="A40" s="28"/>
      <c r="B40" s="28"/>
      <c r="C40" s="4"/>
      <c r="D40" s="131" t="s">
        <v>173</v>
      </c>
      <c r="E40" s="4"/>
      <c r="F40" s="132"/>
      <c r="G40" s="133" t="s">
        <v>36</v>
      </c>
      <c r="H40" s="133" t="s">
        <v>174</v>
      </c>
      <c r="I40" s="131"/>
      <c r="J40" s="37" t="s">
        <v>175</v>
      </c>
      <c r="K40" s="132"/>
      <c r="L40" s="131" t="s">
        <v>176</v>
      </c>
      <c r="M40" s="131"/>
      <c r="N40" s="37" t="s">
        <v>177</v>
      </c>
      <c r="O40" s="132"/>
      <c r="P40" s="4"/>
      <c r="Q40" s="4"/>
      <c r="R40" s="4"/>
      <c r="S40" s="4"/>
      <c r="T40" s="4"/>
      <c r="U40" s="7"/>
      <c r="V40" s="7"/>
      <c r="W40" s="4"/>
      <c r="X40" s="4"/>
      <c r="Y40" s="4"/>
      <c r="Z40" s="4"/>
    </row>
    <row r="41">
      <c r="A41" s="28"/>
      <c r="B41" s="28"/>
      <c r="C41" s="4"/>
      <c r="D41" s="134"/>
      <c r="E41" s="135"/>
      <c r="F41" s="136"/>
      <c r="G41" s="137"/>
      <c r="H41" s="138" t="s">
        <v>178</v>
      </c>
      <c r="I41" s="134"/>
      <c r="J41" s="139" t="s">
        <v>179</v>
      </c>
      <c r="K41" s="136"/>
      <c r="L41" s="134"/>
      <c r="M41" s="134"/>
      <c r="N41" s="139" t="s">
        <v>180</v>
      </c>
      <c r="O41" s="136"/>
      <c r="P41" s="4"/>
      <c r="Q41" s="4"/>
      <c r="R41" s="4"/>
      <c r="S41" s="4"/>
      <c r="T41" s="4"/>
      <c r="U41" s="7"/>
      <c r="V41" s="7"/>
      <c r="W41" s="4"/>
      <c r="X41" s="4"/>
      <c r="Y41" s="4"/>
      <c r="Z41" s="4"/>
    </row>
    <row r="42">
      <c r="A42" s="28"/>
      <c r="B42" s="28"/>
      <c r="C42" s="4"/>
      <c r="D42" s="140" t="s">
        <v>181</v>
      </c>
      <c r="E42" s="141"/>
      <c r="F42" s="142"/>
      <c r="G42" s="143">
        <f>'Nhập dữ liệu'!E23</f>
        <v>20</v>
      </c>
      <c r="H42" s="143">
        <f>'Nhập dữ liệu'!F23</f>
        <v>22</v>
      </c>
      <c r="I42" s="140"/>
      <c r="J42" s="145">
        <f t="shared" ref="J42:J45" si="1">G42*H42/1000</f>
        <v>0.44</v>
      </c>
      <c r="K42" s="142"/>
      <c r="L42" s="146">
        <f>'Nhập dữ liệu'!G23</f>
        <v>1.1</v>
      </c>
      <c r="M42" s="140"/>
      <c r="N42" s="145">
        <f t="shared" ref="N42:N45" si="2">J42*L42</f>
        <v>0.484</v>
      </c>
      <c r="O42" s="142"/>
      <c r="P42" s="4"/>
      <c r="Q42" s="4"/>
      <c r="R42" s="4"/>
      <c r="S42" s="4"/>
      <c r="T42" s="4"/>
      <c r="U42" s="7"/>
      <c r="V42" s="7"/>
      <c r="W42" s="4"/>
      <c r="X42" s="4"/>
      <c r="Y42" s="4"/>
      <c r="Z42" s="4"/>
    </row>
    <row r="43">
      <c r="A43" s="28"/>
      <c r="B43" s="28"/>
      <c r="C43" s="4"/>
      <c r="D43" s="140" t="s">
        <v>183</v>
      </c>
      <c r="E43" s="141"/>
      <c r="F43" s="142"/>
      <c r="G43" s="143">
        <f>'Nhập dữ liệu'!E24</f>
        <v>30</v>
      </c>
      <c r="H43" s="143">
        <f>'Nhập dữ liệu'!F24</f>
        <v>20</v>
      </c>
      <c r="I43" s="140"/>
      <c r="J43" s="145">
        <f t="shared" si="1"/>
        <v>0.6</v>
      </c>
      <c r="K43" s="142"/>
      <c r="L43" s="146">
        <f>'Nhập dữ liệu'!G24</f>
        <v>1.3</v>
      </c>
      <c r="M43" s="140"/>
      <c r="N43" s="145">
        <f t="shared" si="2"/>
        <v>0.78</v>
      </c>
      <c r="O43" s="142"/>
      <c r="P43" s="4"/>
      <c r="Q43" s="4"/>
      <c r="R43" s="4"/>
      <c r="S43" s="4"/>
      <c r="T43" s="4"/>
      <c r="U43" s="7"/>
      <c r="V43" s="7"/>
      <c r="W43" s="4"/>
      <c r="X43" s="4"/>
      <c r="Y43" s="4"/>
      <c r="Z43" s="4"/>
    </row>
    <row r="44">
      <c r="A44" s="28"/>
      <c r="B44" s="28"/>
      <c r="C44" s="4"/>
      <c r="D44" s="140" t="s">
        <v>184</v>
      </c>
      <c r="E44" s="141"/>
      <c r="F44" s="142"/>
      <c r="G44" s="143">
        <f>M5</f>
        <v>90</v>
      </c>
      <c r="H44" s="143">
        <f>'Nhập dữ liệu'!F25</f>
        <v>25</v>
      </c>
      <c r="I44" s="140"/>
      <c r="J44" s="145">
        <f t="shared" si="1"/>
        <v>2.25</v>
      </c>
      <c r="K44" s="142"/>
      <c r="L44" s="146">
        <f>'Nhập dữ liệu'!G25</f>
        <v>1.1</v>
      </c>
      <c r="M44" s="140"/>
      <c r="N44" s="145">
        <f t="shared" si="2"/>
        <v>2.475</v>
      </c>
      <c r="O44" s="142"/>
      <c r="P44" s="4"/>
      <c r="Q44" s="4"/>
      <c r="R44" s="4"/>
      <c r="S44" s="4"/>
      <c r="T44" s="4"/>
      <c r="U44" s="7"/>
      <c r="V44" s="7"/>
      <c r="W44" s="4"/>
      <c r="X44" s="4"/>
      <c r="Y44" s="4"/>
      <c r="Z44" s="4"/>
    </row>
    <row r="45">
      <c r="A45" s="28"/>
      <c r="B45" s="28"/>
      <c r="C45" s="4"/>
      <c r="D45" s="140" t="s">
        <v>103</v>
      </c>
      <c r="E45" s="141"/>
      <c r="F45" s="142"/>
      <c r="G45" s="143">
        <f>'Nhập dữ liệu'!E26</f>
        <v>15</v>
      </c>
      <c r="H45" s="143">
        <f>'Nhập dữ liệu'!F26</f>
        <v>20</v>
      </c>
      <c r="I45" s="140"/>
      <c r="J45" s="145">
        <f t="shared" si="1"/>
        <v>0.3</v>
      </c>
      <c r="K45" s="142"/>
      <c r="L45" s="146">
        <f>'Nhập dữ liệu'!G26</f>
        <v>1.3</v>
      </c>
      <c r="M45" s="140"/>
      <c r="N45" s="145">
        <f t="shared" si="2"/>
        <v>0.39</v>
      </c>
      <c r="O45" s="142"/>
      <c r="P45" s="4"/>
      <c r="Q45" s="4"/>
      <c r="R45" s="4"/>
      <c r="S45" s="4"/>
      <c r="T45" s="4"/>
      <c r="U45" s="7"/>
      <c r="V45" s="7"/>
      <c r="W45" s="4"/>
      <c r="X45" s="4"/>
      <c r="Y45" s="4"/>
      <c r="Z45" s="4"/>
    </row>
    <row r="46">
      <c r="A46" s="28"/>
      <c r="B46" s="28"/>
      <c r="C46" s="4"/>
      <c r="D46" s="140"/>
      <c r="E46" s="141" t="s">
        <v>185</v>
      </c>
      <c r="F46" s="142"/>
      <c r="G46" s="143">
        <f>SUM(G42:G45)</f>
        <v>155</v>
      </c>
      <c r="H46" s="143"/>
      <c r="I46" s="140"/>
      <c r="J46" s="145">
        <f>SUM(J42:J45)</f>
        <v>3.59</v>
      </c>
      <c r="K46" s="142"/>
      <c r="L46" s="140"/>
      <c r="M46" s="140"/>
      <c r="N46" s="145">
        <f>SUM(N42:N45)</f>
        <v>4.129</v>
      </c>
      <c r="O46" s="142"/>
      <c r="P46" s="4"/>
      <c r="Q46" s="4"/>
      <c r="R46" s="4"/>
      <c r="S46" s="4"/>
      <c r="T46" s="4"/>
      <c r="U46" s="7"/>
      <c r="V46" s="7"/>
      <c r="W46" s="4"/>
      <c r="X46" s="4"/>
      <c r="Y46" s="4"/>
      <c r="Z46" s="4"/>
    </row>
    <row r="47">
      <c r="A47" s="28"/>
      <c r="B47" s="2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7"/>
      <c r="V47" s="7"/>
      <c r="W47" s="4"/>
      <c r="X47" s="4"/>
      <c r="Y47" s="4"/>
      <c r="Z47" s="4"/>
    </row>
    <row r="48">
      <c r="A48" s="28"/>
      <c r="B48" s="28"/>
      <c r="C48" s="4"/>
      <c r="D48" s="4" t="s">
        <v>186</v>
      </c>
      <c r="E48" s="3" t="s">
        <v>187</v>
      </c>
      <c r="F48" s="117">
        <f>N46</f>
        <v>4.129</v>
      </c>
      <c r="G48" s="37" t="s">
        <v>188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7"/>
      <c r="V48" s="7"/>
      <c r="W48" s="4"/>
      <c r="X48" s="4"/>
      <c r="Y48" s="4"/>
      <c r="Z48" s="4"/>
    </row>
    <row r="49">
      <c r="A49" s="28"/>
      <c r="B49" s="28"/>
      <c r="C49" s="4"/>
      <c r="D49" s="4" t="s">
        <v>189</v>
      </c>
      <c r="E49" s="37" t="s">
        <v>190</v>
      </c>
      <c r="F49" s="37" t="s">
        <v>191</v>
      </c>
      <c r="G49" s="37">
        <f>'Nhập dữ liệu'!G13</f>
        <v>5.5</v>
      </c>
      <c r="H49" s="37" t="s">
        <v>84</v>
      </c>
      <c r="I49" s="37">
        <f>'Nhập dữ liệu'!F15</f>
        <v>1.3</v>
      </c>
      <c r="J49" s="68" t="s">
        <v>40</v>
      </c>
      <c r="K49" s="110">
        <f>G49*I49</f>
        <v>7.15</v>
      </c>
      <c r="L49" s="37" t="s">
        <v>192</v>
      </c>
      <c r="M49" s="4"/>
      <c r="N49" s="4"/>
      <c r="O49" s="4"/>
      <c r="P49" s="4"/>
      <c r="Q49" s="4"/>
      <c r="R49" s="4"/>
      <c r="S49" s="4"/>
      <c r="T49" s="4"/>
      <c r="U49" s="7"/>
      <c r="V49" s="7"/>
      <c r="W49" s="4"/>
      <c r="X49" s="4"/>
      <c r="Y49" s="4"/>
      <c r="Z49" s="4"/>
    </row>
    <row r="50">
      <c r="A50" s="28"/>
      <c r="B50" s="28"/>
      <c r="C50" s="4"/>
      <c r="D50" s="4" t="s">
        <v>193</v>
      </c>
      <c r="E50" s="4"/>
      <c r="F50" s="4"/>
      <c r="G50" s="3" t="s">
        <v>194</v>
      </c>
      <c r="H50" s="4"/>
      <c r="I50" s="117">
        <f>F48</f>
        <v>4.129</v>
      </c>
      <c r="J50" s="66" t="s">
        <v>89</v>
      </c>
      <c r="K50" s="117">
        <f>K49</f>
        <v>7.15</v>
      </c>
      <c r="L50" s="66" t="s">
        <v>40</v>
      </c>
      <c r="M50" s="117">
        <f>I50+K50</f>
        <v>11.279</v>
      </c>
      <c r="N50" s="37" t="s">
        <v>195</v>
      </c>
      <c r="O50" s="4"/>
      <c r="P50" s="4"/>
      <c r="Q50" s="4"/>
      <c r="R50" s="4"/>
      <c r="S50" s="4"/>
      <c r="T50" s="4"/>
      <c r="U50" s="7"/>
      <c r="V50" s="7"/>
      <c r="W50" s="4"/>
      <c r="X50" s="4"/>
      <c r="Y50" s="4"/>
      <c r="Z50" s="4"/>
    </row>
    <row r="51">
      <c r="A51" s="28"/>
      <c r="B51" s="28"/>
      <c r="C51" s="4"/>
      <c r="D51" s="4" t="s">
        <v>196</v>
      </c>
      <c r="E51" s="4"/>
      <c r="F51" s="4"/>
      <c r="G51" s="105" t="s">
        <v>197</v>
      </c>
      <c r="H51" s="37">
        <f>G22/1000</f>
        <v>1</v>
      </c>
      <c r="I51" s="4" t="s">
        <v>31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7"/>
      <c r="V51" s="7"/>
      <c r="W51" s="4"/>
      <c r="X51" s="4"/>
      <c r="Y51" s="4"/>
      <c r="Z51" s="4"/>
    </row>
    <row r="52">
      <c r="A52" s="28"/>
      <c r="B52" s="28"/>
      <c r="C52" s="4"/>
      <c r="D52" s="4"/>
      <c r="E52" s="163" t="s">
        <v>198</v>
      </c>
      <c r="F52" s="110">
        <f>M50</f>
        <v>11.279</v>
      </c>
      <c r="G52" s="37" t="s">
        <v>199</v>
      </c>
      <c r="H52" s="37" t="s">
        <v>200</v>
      </c>
      <c r="I52" s="37">
        <f>H51</f>
        <v>1</v>
      </c>
      <c r="J52" s="37" t="s">
        <v>201</v>
      </c>
      <c r="K52" s="117">
        <f>F52*I52</f>
        <v>11.279</v>
      </c>
      <c r="L52" s="37" t="s">
        <v>79</v>
      </c>
      <c r="M52" s="4"/>
      <c r="N52" s="4"/>
      <c r="O52" s="4"/>
      <c r="P52" s="4"/>
      <c r="Q52" s="4"/>
      <c r="R52" s="4"/>
      <c r="S52" s="4"/>
      <c r="T52" s="4"/>
      <c r="U52" s="7"/>
      <c r="V52" s="7"/>
      <c r="W52" s="4"/>
      <c r="X52" s="4"/>
      <c r="Y52" s="4"/>
      <c r="Z52" s="4"/>
    </row>
    <row r="53">
      <c r="A53" s="28"/>
      <c r="B53" s="28" t="s">
        <v>202</v>
      </c>
      <c r="C53" s="28" t="s">
        <v>203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7"/>
      <c r="V53" s="7"/>
      <c r="W53" s="4"/>
      <c r="X53" s="4"/>
      <c r="Y53" s="4"/>
      <c r="Z53" s="4"/>
    </row>
    <row r="54">
      <c r="A54" s="28"/>
      <c r="B54" s="2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7"/>
      <c r="V54" s="7"/>
      <c r="W54" s="4"/>
      <c r="X54" s="4"/>
      <c r="Y54" s="4"/>
      <c r="Z54" s="4"/>
    </row>
    <row r="55">
      <c r="A55" s="28"/>
      <c r="B55" s="2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7"/>
      <c r="V55" s="7"/>
      <c r="W55" s="4"/>
      <c r="X55" s="4"/>
      <c r="Y55" s="4"/>
      <c r="Z55" s="4"/>
    </row>
    <row r="56">
      <c r="A56" s="28"/>
      <c r="B56" s="2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7"/>
      <c r="V56" s="7"/>
      <c r="W56" s="4"/>
      <c r="X56" s="4"/>
      <c r="Y56" s="4"/>
      <c r="Z56" s="4"/>
    </row>
    <row r="57">
      <c r="A57" s="28"/>
      <c r="B57" s="2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7"/>
      <c r="V57" s="7"/>
      <c r="W57" s="4"/>
      <c r="X57" s="4"/>
      <c r="Y57" s="4"/>
      <c r="Z57" s="4"/>
    </row>
    <row r="58">
      <c r="A58" s="28"/>
      <c r="B58" s="2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7"/>
      <c r="V58" s="7"/>
      <c r="W58" s="4"/>
      <c r="X58" s="4"/>
      <c r="Y58" s="4"/>
      <c r="Z58" s="4"/>
    </row>
    <row r="59">
      <c r="A59" s="28"/>
      <c r="B59" s="2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7"/>
      <c r="V59" s="7"/>
      <c r="W59" s="4"/>
      <c r="X59" s="4"/>
      <c r="Y59" s="4"/>
      <c r="Z59" s="4"/>
    </row>
    <row r="60">
      <c r="A60" s="28"/>
      <c r="B60" s="2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7"/>
      <c r="V60" s="7"/>
      <c r="W60" s="4"/>
      <c r="X60" s="4"/>
      <c r="Y60" s="4"/>
      <c r="Z60" s="4"/>
    </row>
    <row r="61">
      <c r="A61" s="28"/>
      <c r="B61" s="2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7"/>
      <c r="V61" s="7"/>
      <c r="W61" s="4"/>
      <c r="X61" s="4"/>
      <c r="Y61" s="4"/>
      <c r="Z61" s="4"/>
    </row>
    <row r="62">
      <c r="A62" s="28"/>
      <c r="B62" s="2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7"/>
      <c r="V62" s="7"/>
      <c r="W62" s="4"/>
      <c r="X62" s="4"/>
      <c r="Y62" s="4"/>
      <c r="Z62" s="4"/>
    </row>
    <row r="63">
      <c r="A63" s="28"/>
      <c r="B63" s="2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7"/>
      <c r="V63" s="7"/>
      <c r="W63" s="4"/>
      <c r="X63" s="4"/>
      <c r="Y63" s="4"/>
      <c r="Z63" s="4"/>
    </row>
    <row r="64">
      <c r="A64" s="28"/>
      <c r="B64" s="2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7"/>
      <c r="V64" s="7"/>
      <c r="W64" s="4"/>
      <c r="X64" s="4"/>
      <c r="Y64" s="4"/>
      <c r="Z64" s="4"/>
    </row>
    <row r="65">
      <c r="A65" s="28"/>
      <c r="B65" s="2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7"/>
      <c r="V65" s="7"/>
      <c r="W65" s="4"/>
      <c r="X65" s="4"/>
      <c r="Y65" s="4"/>
      <c r="Z65" s="4"/>
    </row>
    <row r="66">
      <c r="A66" s="28"/>
      <c r="B66" s="2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7"/>
      <c r="V66" s="7"/>
      <c r="W66" s="4"/>
      <c r="X66" s="4"/>
      <c r="Y66" s="4"/>
      <c r="Z66" s="4"/>
    </row>
    <row r="67">
      <c r="A67" s="28"/>
      <c r="B67" s="2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7"/>
      <c r="V67" s="7"/>
      <c r="W67" s="4"/>
      <c r="X67" s="4"/>
      <c r="Y67" s="4"/>
      <c r="Z67" s="4"/>
    </row>
    <row r="68">
      <c r="A68" s="28"/>
      <c r="B68" s="2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7"/>
      <c r="V68" s="7"/>
      <c r="W68" s="4"/>
      <c r="X68" s="4"/>
      <c r="Y68" s="4"/>
      <c r="Z68" s="4"/>
    </row>
    <row r="69">
      <c r="A69" s="28"/>
      <c r="B69" s="2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7"/>
      <c r="V69" s="7"/>
      <c r="W69" s="4"/>
      <c r="X69" s="4"/>
      <c r="Y69" s="4"/>
      <c r="Z69" s="4"/>
    </row>
    <row r="70">
      <c r="A70" s="28"/>
      <c r="B70" s="2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7"/>
      <c r="V70" s="7"/>
      <c r="W70" s="4"/>
      <c r="X70" s="4"/>
      <c r="Y70" s="4"/>
      <c r="Z70" s="4"/>
    </row>
    <row r="71">
      <c r="A71" s="28"/>
      <c r="B71" s="2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7"/>
      <c r="V71" s="7"/>
      <c r="W71" s="4"/>
      <c r="X71" s="4"/>
      <c r="Y71" s="4"/>
      <c r="Z71" s="4"/>
    </row>
    <row r="72">
      <c r="A72" s="28"/>
      <c r="B72" s="2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7"/>
      <c r="V72" s="7"/>
      <c r="W72" s="4"/>
      <c r="X72" s="4"/>
      <c r="Y72" s="4"/>
      <c r="Z72" s="4"/>
    </row>
    <row r="73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7"/>
      <c r="V73" s="7"/>
      <c r="W73" s="4"/>
      <c r="X73" s="4"/>
      <c r="Y73" s="4"/>
      <c r="Z73" s="4"/>
    </row>
    <row r="74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7"/>
      <c r="V74" s="7"/>
      <c r="W74" s="4"/>
      <c r="X74" s="4"/>
      <c r="Y74" s="4"/>
      <c r="Z74" s="4"/>
    </row>
    <row r="75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7"/>
      <c r="V75" s="7"/>
      <c r="W75" s="4"/>
      <c r="X75" s="4"/>
      <c r="Y75" s="4"/>
      <c r="Z75" s="4"/>
    </row>
    <row r="76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7"/>
      <c r="V76" s="7"/>
      <c r="W76" s="4"/>
      <c r="X76" s="4"/>
      <c r="Y76" s="4"/>
      <c r="Z76" s="4"/>
    </row>
    <row r="77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7"/>
      <c r="R77" s="4"/>
      <c r="S77" s="4"/>
      <c r="T77" s="4"/>
      <c r="U77" s="4"/>
      <c r="V77" s="4"/>
      <c r="W77" s="4"/>
      <c r="X77" s="4"/>
      <c r="Y77" s="4"/>
      <c r="Z77" s="4"/>
    </row>
    <row r="78">
      <c r="A78" s="28"/>
      <c r="B78" s="28"/>
      <c r="C78" s="66" t="s">
        <v>255</v>
      </c>
      <c r="D78" s="4"/>
      <c r="E78" s="4"/>
      <c r="F78" s="4"/>
      <c r="G78" s="4"/>
      <c r="H78" s="4"/>
      <c r="I78" s="174">
        <v>2.0</v>
      </c>
      <c r="J78" s="4"/>
      <c r="K78" s="4"/>
      <c r="L78" s="4"/>
      <c r="M78" s="4"/>
      <c r="N78" s="4"/>
      <c r="O78" s="4"/>
      <c r="P78" s="4"/>
      <c r="Q78" s="7"/>
      <c r="R78" s="4"/>
      <c r="S78" s="4"/>
      <c r="T78" s="4"/>
      <c r="U78" s="4"/>
      <c r="V78" s="4"/>
      <c r="W78" s="4"/>
      <c r="X78" s="4"/>
      <c r="Y78" s="4"/>
      <c r="Z78" s="4"/>
    </row>
    <row r="79">
      <c r="A79" s="28"/>
      <c r="B79" s="28"/>
      <c r="C79" s="4"/>
      <c r="D79" s="4"/>
      <c r="E79" s="4"/>
      <c r="F79" s="4"/>
      <c r="G79" s="117">
        <f>M50</f>
        <v>11.279</v>
      </c>
      <c r="H79" s="176" t="s">
        <v>84</v>
      </c>
      <c r="I79" s="4">
        <f>M26</f>
        <v>2.365</v>
      </c>
      <c r="J79" s="4"/>
      <c r="K79" s="4"/>
      <c r="L79" s="4"/>
      <c r="M79" s="4"/>
      <c r="N79" s="4"/>
      <c r="O79" s="4"/>
      <c r="P79" s="4"/>
      <c r="Q79" s="7"/>
      <c r="R79" s="4"/>
      <c r="S79" s="4"/>
      <c r="T79" s="4"/>
      <c r="U79" s="4"/>
      <c r="V79" s="4"/>
      <c r="W79" s="4"/>
      <c r="X79" s="4"/>
      <c r="Y79" s="4"/>
      <c r="Z79" s="4"/>
    </row>
    <row r="80">
      <c r="A80" s="28"/>
      <c r="B80" s="28"/>
      <c r="C80" s="4"/>
      <c r="D80" s="65"/>
      <c r="E80" s="4"/>
      <c r="F80" s="4"/>
      <c r="G80" s="66" t="s">
        <v>256</v>
      </c>
      <c r="H80" s="4"/>
      <c r="I80" s="4"/>
      <c r="J80" s="178" t="s">
        <v>257</v>
      </c>
      <c r="K80" s="117">
        <f>G79*I79*I79/H81</f>
        <v>5.735089525</v>
      </c>
      <c r="L80" s="4" t="s">
        <v>123</v>
      </c>
      <c r="M80" s="4"/>
      <c r="N80" s="4"/>
      <c r="O80" s="4"/>
      <c r="P80" s="4"/>
      <c r="Q80" s="7"/>
      <c r="R80" s="4"/>
      <c r="S80" s="4"/>
      <c r="T80" s="4"/>
      <c r="U80" s="4"/>
      <c r="V80" s="4"/>
      <c r="W80" s="4"/>
      <c r="X80" s="4"/>
      <c r="Y80" s="4"/>
      <c r="Z80" s="4"/>
    </row>
    <row r="81">
      <c r="A81" s="28"/>
      <c r="B81" s="28"/>
      <c r="C81" s="4"/>
      <c r="D81" s="4"/>
      <c r="E81" s="4"/>
      <c r="F81" s="4"/>
      <c r="G81" s="4"/>
      <c r="H81" s="4">
        <v>11.0</v>
      </c>
      <c r="I81" s="4"/>
      <c r="J81" s="3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28"/>
      <c r="B82" s="28"/>
      <c r="C82" s="4"/>
      <c r="D82" s="4"/>
      <c r="E82" s="4"/>
      <c r="F82" s="4"/>
      <c r="G82" s="4"/>
      <c r="H82" s="4"/>
      <c r="I82" s="4"/>
      <c r="J82" s="37"/>
      <c r="K82" s="4"/>
      <c r="L82" s="4"/>
      <c r="M82" s="4"/>
      <c r="N82" s="4"/>
      <c r="O82" s="4"/>
      <c r="P82" s="4"/>
      <c r="Q82" s="7"/>
      <c r="R82" s="4"/>
      <c r="S82" s="4"/>
      <c r="T82" s="4"/>
      <c r="U82" s="4"/>
      <c r="V82" s="4"/>
      <c r="W82" s="4"/>
      <c r="X82" s="4"/>
      <c r="Y82" s="4"/>
      <c r="Z82" s="4"/>
    </row>
    <row r="83">
      <c r="A83" s="28"/>
      <c r="B83" s="28"/>
      <c r="C83" s="66" t="s">
        <v>258</v>
      </c>
      <c r="D83" s="4"/>
      <c r="E83" s="4"/>
      <c r="F83" s="4"/>
      <c r="G83" s="4"/>
      <c r="H83" s="4"/>
      <c r="I83" s="174">
        <v>2.0</v>
      </c>
      <c r="J83" s="37"/>
      <c r="K83" s="4"/>
      <c r="L83" s="4"/>
      <c r="M83" s="4"/>
      <c r="N83" s="4"/>
      <c r="O83" s="4"/>
      <c r="P83" s="4"/>
      <c r="Q83" s="7"/>
      <c r="R83" s="4"/>
      <c r="S83" s="4"/>
      <c r="T83" s="4"/>
      <c r="U83" s="4"/>
      <c r="V83" s="4"/>
      <c r="W83" s="4"/>
      <c r="X83" s="4"/>
      <c r="Y83" s="4"/>
      <c r="Z83" s="4"/>
    </row>
    <row r="84">
      <c r="A84" s="28"/>
      <c r="B84" s="28"/>
      <c r="C84" s="4"/>
      <c r="D84" s="4"/>
      <c r="E84" s="4"/>
      <c r="F84" s="4"/>
      <c r="G84" s="117">
        <f>K52</f>
        <v>11.279</v>
      </c>
      <c r="H84" s="176" t="s">
        <v>84</v>
      </c>
      <c r="I84" s="117">
        <f>L29</f>
        <v>2.38</v>
      </c>
      <c r="J84" s="37"/>
      <c r="K84" s="4"/>
      <c r="L84" s="4"/>
      <c r="M84" s="4"/>
      <c r="N84" s="4"/>
      <c r="O84" s="4"/>
      <c r="P84" s="4"/>
      <c r="Q84" s="7"/>
      <c r="R84" s="4"/>
      <c r="S84" s="4"/>
      <c r="T84" s="4"/>
      <c r="U84" s="4"/>
      <c r="V84" s="4"/>
      <c r="W84" s="4"/>
      <c r="X84" s="4"/>
      <c r="Y84" s="4"/>
      <c r="Z84" s="4"/>
    </row>
    <row r="85">
      <c r="A85" s="28"/>
      <c r="B85" s="28"/>
      <c r="C85" s="4"/>
      <c r="D85" s="4"/>
      <c r="E85" s="65"/>
      <c r="F85" s="4"/>
      <c r="G85" s="66" t="s">
        <v>256</v>
      </c>
      <c r="H85" s="4"/>
      <c r="I85" s="4"/>
      <c r="J85" s="178" t="s">
        <v>257</v>
      </c>
      <c r="K85" s="117">
        <f>G84*I84*I84/H86</f>
        <v>3.993047975</v>
      </c>
      <c r="L85" s="4" t="s">
        <v>123</v>
      </c>
      <c r="M85" s="4"/>
      <c r="N85" s="4"/>
      <c r="O85" s="4"/>
      <c r="P85" s="4"/>
      <c r="Q85" s="7"/>
      <c r="R85" s="4"/>
      <c r="S85" s="4"/>
      <c r="T85" s="4"/>
      <c r="U85" s="4"/>
      <c r="V85" s="4"/>
      <c r="W85" s="4"/>
      <c r="X85" s="4"/>
      <c r="Y85" s="4"/>
      <c r="Z85" s="4"/>
    </row>
    <row r="86">
      <c r="A86" s="28"/>
      <c r="B86" s="28"/>
      <c r="C86" s="4"/>
      <c r="D86" s="4"/>
      <c r="E86" s="4"/>
      <c r="F86" s="4"/>
      <c r="G86" s="4"/>
      <c r="H86" s="4">
        <v>16.0</v>
      </c>
      <c r="I86" s="4"/>
      <c r="J86" s="4"/>
      <c r="K86" s="4"/>
      <c r="L86" s="4"/>
      <c r="M86" s="4"/>
      <c r="N86" s="4"/>
      <c r="O86" s="4"/>
      <c r="P86" s="4"/>
      <c r="Q86" s="7"/>
      <c r="R86" s="4"/>
      <c r="S86" s="4"/>
      <c r="T86" s="4"/>
      <c r="U86" s="4"/>
      <c r="V86" s="4"/>
      <c r="W86" s="4"/>
      <c r="X86" s="4"/>
      <c r="Y86" s="4"/>
      <c r="Z86" s="4"/>
    </row>
    <row r="87">
      <c r="A87" s="28"/>
      <c r="B87" s="2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7"/>
      <c r="R87" s="4"/>
      <c r="S87" s="4"/>
      <c r="T87" s="4"/>
      <c r="U87" s="4"/>
      <c r="V87" s="4"/>
      <c r="W87" s="4"/>
      <c r="X87" s="4"/>
      <c r="Y87" s="4"/>
      <c r="Z87" s="4"/>
    </row>
    <row r="88">
      <c r="A88" s="28"/>
      <c r="B88" s="28"/>
      <c r="C88" s="66" t="s">
        <v>262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7"/>
      <c r="R88" s="4"/>
      <c r="S88" s="4"/>
      <c r="T88" s="4"/>
      <c r="U88" s="4"/>
      <c r="V88" s="4"/>
      <c r="W88" s="4"/>
      <c r="X88" s="4"/>
      <c r="Y88" s="4"/>
      <c r="Z88" s="4"/>
    </row>
    <row r="89">
      <c r="A89" s="28"/>
      <c r="B89" s="28"/>
      <c r="C89" s="4"/>
      <c r="D89" s="4" t="s">
        <v>263</v>
      </c>
      <c r="E89" s="4"/>
      <c r="F89" s="4"/>
      <c r="G89" s="4">
        <v>0.4</v>
      </c>
      <c r="H89" s="4" t="s">
        <v>84</v>
      </c>
      <c r="I89" s="117">
        <f>K52</f>
        <v>11.279</v>
      </c>
      <c r="J89" s="4" t="s">
        <v>84</v>
      </c>
      <c r="K89" s="4">
        <f>M26</f>
        <v>2.365</v>
      </c>
      <c r="L89" s="66" t="s">
        <v>40</v>
      </c>
      <c r="M89" s="117">
        <f t="shared" ref="M89:M90" si="3">G89*I89*K89</f>
        <v>10.669934</v>
      </c>
      <c r="N89" s="4" t="s">
        <v>264</v>
      </c>
      <c r="O89" s="4"/>
      <c r="P89" s="4"/>
      <c r="Q89" s="7"/>
      <c r="R89" s="4"/>
      <c r="S89" s="4"/>
      <c r="T89" s="4"/>
      <c r="U89" s="4"/>
      <c r="V89" s="4"/>
      <c r="W89" s="4"/>
      <c r="X89" s="4"/>
      <c r="Y89" s="4"/>
      <c r="Z89" s="4"/>
    </row>
    <row r="90">
      <c r="A90" s="28"/>
      <c r="B90" s="28"/>
      <c r="C90" s="4"/>
      <c r="D90" s="65"/>
      <c r="E90" s="37" t="s">
        <v>265</v>
      </c>
      <c r="F90" s="4"/>
      <c r="G90" s="4">
        <v>0.6</v>
      </c>
      <c r="H90" s="4" t="s">
        <v>84</v>
      </c>
      <c r="I90" s="117">
        <f>K52</f>
        <v>11.279</v>
      </c>
      <c r="J90" s="4" t="s">
        <v>84</v>
      </c>
      <c r="K90" s="4">
        <f>M26</f>
        <v>2.365</v>
      </c>
      <c r="L90" s="66" t="s">
        <v>40</v>
      </c>
      <c r="M90" s="117">
        <f t="shared" si="3"/>
        <v>16.004901</v>
      </c>
      <c r="N90" s="4" t="s">
        <v>264</v>
      </c>
      <c r="O90" s="4"/>
      <c r="P90" s="4"/>
      <c r="Q90" s="4"/>
      <c r="R90" s="4"/>
      <c r="S90" s="4"/>
      <c r="T90" s="4"/>
      <c r="U90" s="7"/>
      <c r="V90" s="7"/>
      <c r="W90" s="4"/>
      <c r="X90" s="4"/>
      <c r="Y90" s="4"/>
      <c r="Z90" s="4"/>
    </row>
    <row r="91">
      <c r="A91" s="28"/>
      <c r="B91" s="28"/>
      <c r="C91" s="4"/>
      <c r="D91" s="65"/>
      <c r="E91" s="4"/>
      <c r="F91" s="4"/>
      <c r="G91" s="4"/>
      <c r="H91" s="37" t="s">
        <v>266</v>
      </c>
      <c r="I91" s="4"/>
      <c r="J91" s="4">
        <f>0.5</f>
        <v>0.5</v>
      </c>
      <c r="K91" s="193">
        <f>M50</f>
        <v>11.279</v>
      </c>
      <c r="L91" s="117">
        <f>L29</f>
        <v>2.38</v>
      </c>
      <c r="M91" s="66" t="s">
        <v>40</v>
      </c>
      <c r="N91" s="4">
        <f>J91*K91*L91</f>
        <v>13.42201</v>
      </c>
      <c r="O91" s="4" t="s">
        <v>264</v>
      </c>
      <c r="P91" s="4"/>
      <c r="Q91" s="4"/>
      <c r="R91" s="4"/>
      <c r="S91" s="4"/>
      <c r="T91" s="4"/>
      <c r="U91" s="7"/>
      <c r="V91" s="7"/>
      <c r="W91" s="4"/>
      <c r="X91" s="4"/>
      <c r="Y91" s="4"/>
      <c r="Z91" s="4"/>
    </row>
    <row r="92">
      <c r="A92" s="28"/>
      <c r="B92" s="2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7"/>
      <c r="V92" s="7"/>
      <c r="W92" s="4"/>
      <c r="X92" s="4"/>
      <c r="Y92" s="4"/>
      <c r="Z92" s="4"/>
    </row>
    <row r="93">
      <c r="A93" s="28"/>
      <c r="B93" s="28" t="s">
        <v>270</v>
      </c>
      <c r="C93" s="28" t="s">
        <v>271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7"/>
      <c r="V93" s="7"/>
      <c r="W93" s="4"/>
      <c r="X93" s="4"/>
      <c r="Y93" s="4"/>
      <c r="Z93" s="4"/>
    </row>
    <row r="94">
      <c r="A94" s="28"/>
      <c r="B94" s="28"/>
      <c r="C94" s="4"/>
      <c r="D94" s="4" t="s">
        <v>273</v>
      </c>
      <c r="E94" s="61">
        <v>15.0</v>
      </c>
      <c r="F94" s="4" t="s">
        <v>274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7"/>
      <c r="V94" s="7"/>
      <c r="W94" s="4"/>
      <c r="X94" s="4"/>
      <c r="Y94" s="4"/>
      <c r="Z94" s="4"/>
    </row>
    <row r="95">
      <c r="A95" s="28"/>
      <c r="B95" s="28"/>
      <c r="C95" s="4"/>
      <c r="D95" s="4"/>
      <c r="E95" s="4" t="s">
        <v>278</v>
      </c>
      <c r="F95" s="4"/>
      <c r="G95" s="37">
        <f>M5</f>
        <v>90</v>
      </c>
      <c r="H95" s="68" t="s">
        <v>24</v>
      </c>
      <c r="I95" s="37">
        <f>E94</f>
        <v>15</v>
      </c>
      <c r="J95" s="68" t="s">
        <v>40</v>
      </c>
      <c r="K95" s="4">
        <f>G95-I95</f>
        <v>75</v>
      </c>
      <c r="L95" s="4" t="s">
        <v>53</v>
      </c>
      <c r="M95" s="4"/>
      <c r="N95" s="4"/>
      <c r="O95" s="4"/>
      <c r="P95" s="4"/>
      <c r="Q95" s="4"/>
      <c r="R95" s="4"/>
      <c r="S95" s="4"/>
      <c r="T95" s="4"/>
      <c r="U95" s="7"/>
      <c r="V95" s="7"/>
      <c r="W95" s="4"/>
      <c r="X95" s="4"/>
      <c r="Y95" s="4"/>
      <c r="Z95" s="4"/>
    </row>
    <row r="96">
      <c r="A96" s="28"/>
      <c r="B96" s="28"/>
      <c r="C96" s="60" t="s">
        <v>251</v>
      </c>
      <c r="D96" s="28" t="s">
        <v>281</v>
      </c>
      <c r="E96" s="4"/>
      <c r="F96" s="4"/>
      <c r="G96" s="4"/>
      <c r="H96" s="196">
        <f>K80</f>
        <v>5.735089525</v>
      </c>
      <c r="I96" s="28" t="s">
        <v>282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7"/>
      <c r="V96" s="7"/>
      <c r="W96" s="4"/>
      <c r="X96" s="4"/>
      <c r="Y96" s="4"/>
      <c r="Z96" s="4"/>
    </row>
    <row r="97">
      <c r="A97" s="28"/>
      <c r="B97" s="28"/>
      <c r="C97" s="4"/>
      <c r="D97" s="4"/>
      <c r="E97" s="4"/>
      <c r="F97" s="197">
        <f>H96</f>
        <v>5.735089525</v>
      </c>
      <c r="G97" s="176" t="s">
        <v>84</v>
      </c>
      <c r="H97" s="4">
        <v>1000000.0</v>
      </c>
      <c r="I97" s="4" t="s">
        <v>285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7"/>
      <c r="V97" s="7"/>
      <c r="W97" s="4"/>
      <c r="X97" s="4"/>
      <c r="Y97" s="4"/>
      <c r="Z97" s="4"/>
    </row>
    <row r="98">
      <c r="A98" s="28"/>
      <c r="B98" s="28"/>
      <c r="C98" s="4"/>
      <c r="D98" s="4"/>
      <c r="E98" s="65"/>
      <c r="F98" s="66" t="s">
        <v>289</v>
      </c>
      <c r="G98" s="4"/>
      <c r="H98" s="4"/>
      <c r="I98" s="4"/>
      <c r="J98" s="4"/>
      <c r="K98" s="117">
        <f>F97*1000000/(F99*G99*H99*H99)</f>
        <v>0.08865838879</v>
      </c>
      <c r="L98" s="65"/>
      <c r="M98" s="4"/>
      <c r="N98" s="4"/>
      <c r="O98" s="4"/>
      <c r="P98" s="4"/>
      <c r="Q98" s="4"/>
      <c r="R98" s="4"/>
      <c r="S98" s="4"/>
      <c r="T98" s="4"/>
      <c r="U98" s="7"/>
      <c r="V98" s="7"/>
      <c r="W98" s="4"/>
      <c r="X98" s="4"/>
      <c r="Y98" s="4"/>
      <c r="Z98" s="4"/>
    </row>
    <row r="99">
      <c r="A99" s="28"/>
      <c r="B99" s="28"/>
      <c r="C99" s="4"/>
      <c r="D99" s="4"/>
      <c r="E99" s="4"/>
      <c r="F99" s="115">
        <f>'Nhập Rs thep CV240,300,400 '!E52</f>
        <v>11.5</v>
      </c>
      <c r="G99" s="37">
        <v>1000.0</v>
      </c>
      <c r="H99" s="115">
        <f>K95</f>
        <v>75</v>
      </c>
      <c r="I99" s="66" t="s">
        <v>292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7"/>
      <c r="V99" s="7"/>
      <c r="W99" s="4"/>
      <c r="X99" s="4"/>
      <c r="Y99" s="4"/>
      <c r="Z99" s="4"/>
    </row>
    <row r="100">
      <c r="A100" s="28"/>
      <c r="B100" s="28"/>
      <c r="C100" s="4"/>
      <c r="D100" s="4"/>
      <c r="E100" s="4"/>
      <c r="F100" s="115"/>
      <c r="G100" s="37"/>
      <c r="H100" s="11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7"/>
      <c r="V100" s="7"/>
      <c r="W100" s="4"/>
      <c r="X100" s="4"/>
      <c r="Y100" s="4"/>
      <c r="Z100" s="4"/>
    </row>
    <row r="101">
      <c r="A101" s="28"/>
      <c r="B101" s="28"/>
      <c r="C101" s="4"/>
      <c r="D101" s="4"/>
      <c r="E101" s="4"/>
      <c r="F101" s="4"/>
      <c r="G101" s="4"/>
      <c r="H101" s="199">
        <f>K98</f>
        <v>0.08865838879</v>
      </c>
      <c r="I101" s="200" t="s">
        <v>40</v>
      </c>
      <c r="J101" s="117">
        <f>(1+SQRT(1-2*H101))/2</f>
        <v>0.9535094328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7"/>
      <c r="V101" s="7"/>
      <c r="W101" s="4"/>
      <c r="X101" s="4"/>
      <c r="Y101" s="4"/>
      <c r="Z101" s="4"/>
    </row>
    <row r="102">
      <c r="A102" s="28"/>
      <c r="B102" s="28"/>
      <c r="C102" s="4"/>
      <c r="D102" s="6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7"/>
      <c r="V102" s="7"/>
      <c r="W102" s="4"/>
      <c r="X102" s="4"/>
      <c r="Y102" s="4"/>
      <c r="Z102" s="4"/>
    </row>
    <row r="103">
      <c r="A103" s="28"/>
      <c r="B103" s="2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7"/>
      <c r="V103" s="7"/>
      <c r="W103" s="4"/>
      <c r="X103" s="4"/>
      <c r="Y103" s="4"/>
      <c r="Z103" s="4"/>
    </row>
    <row r="104">
      <c r="A104" s="28"/>
      <c r="B104" s="28"/>
      <c r="C104" s="4"/>
      <c r="D104" s="65"/>
      <c r="E104" s="4"/>
      <c r="F104" s="193">
        <f>H96</f>
        <v>5.735089525</v>
      </c>
      <c r="G104" s="176" t="s">
        <v>84</v>
      </c>
      <c r="H104" s="4">
        <v>1000000.0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7"/>
      <c r="V104" s="7"/>
      <c r="W104" s="4"/>
      <c r="X104" s="4"/>
      <c r="Y104" s="4"/>
      <c r="Z104" s="4"/>
    </row>
    <row r="105">
      <c r="A105" s="28"/>
      <c r="B105" s="28"/>
      <c r="C105" s="4"/>
      <c r="D105" s="4"/>
      <c r="E105" s="4"/>
      <c r="F105" s="208" t="s">
        <v>308</v>
      </c>
      <c r="G105" s="4"/>
      <c r="H105" s="4"/>
      <c r="I105" s="4"/>
      <c r="J105" s="4"/>
      <c r="K105" s="70">
        <f>(F104*1000000)/(F106*G106*H106)</f>
        <v>381.8868023</v>
      </c>
      <c r="L105" s="105" t="s">
        <v>311</v>
      </c>
      <c r="M105" s="4"/>
      <c r="N105" s="4"/>
      <c r="O105" s="4"/>
      <c r="P105" s="4"/>
      <c r="Q105" s="4"/>
      <c r="R105" s="4"/>
      <c r="S105" s="4"/>
      <c r="T105" s="4"/>
      <c r="U105" s="7"/>
      <c r="V105" s="7"/>
      <c r="W105" s="4"/>
      <c r="X105" s="4"/>
      <c r="Y105" s="4"/>
      <c r="Z105" s="4"/>
    </row>
    <row r="106">
      <c r="A106" s="28"/>
      <c r="B106" s="28"/>
      <c r="C106" s="4"/>
      <c r="D106" s="4"/>
      <c r="E106" s="4"/>
      <c r="F106" s="37">
        <f>'Nhập Rs thep CV240,300,400 '!J53</f>
        <v>210</v>
      </c>
      <c r="G106" s="110">
        <f>J101</f>
        <v>0.9535094328</v>
      </c>
      <c r="H106" s="37">
        <f>K95</f>
        <v>75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7"/>
      <c r="V106" s="7"/>
      <c r="W106" s="4"/>
      <c r="X106" s="4"/>
      <c r="Y106" s="4"/>
      <c r="Z106" s="4"/>
    </row>
    <row r="107">
      <c r="A107" s="28"/>
      <c r="B107" s="2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7"/>
      <c r="V107" s="7"/>
      <c r="W107" s="4"/>
      <c r="X107" s="4"/>
      <c r="Y107" s="4"/>
      <c r="Z107" s="4"/>
    </row>
    <row r="108">
      <c r="A108" s="28"/>
      <c r="B108" s="28"/>
      <c r="C108" s="4"/>
      <c r="D108" s="4"/>
      <c r="E108" s="4"/>
      <c r="F108" s="4"/>
      <c r="G108" s="4"/>
      <c r="H108" s="70">
        <f>K105</f>
        <v>381.8868023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7"/>
      <c r="V108" s="7"/>
      <c r="W108" s="4"/>
      <c r="X108" s="4"/>
      <c r="Y108" s="4"/>
      <c r="Z108" s="4"/>
    </row>
    <row r="109">
      <c r="A109" s="28"/>
      <c r="B109" s="28"/>
      <c r="C109" s="4"/>
      <c r="D109" s="4"/>
      <c r="E109" s="65"/>
      <c r="F109" s="4"/>
      <c r="G109" s="66" t="s">
        <v>312</v>
      </c>
      <c r="H109" s="4"/>
      <c r="I109" s="4"/>
      <c r="J109" s="4"/>
      <c r="K109" s="215">
        <f>H108/(G110*I110)</f>
        <v>0.005091824031</v>
      </c>
      <c r="L109" s="216" t="str">
        <f>IF(K109&lt;0.003,"{chiều dầy bản quá lớn, hãy giảm chiều dày bản và tính lại}",IF(K109&gt;0.009,"{chiều dày bản quá bé, tăng chiều dày bản và tính lại}",""))</f>
        <v/>
      </c>
      <c r="M109" s="4"/>
      <c r="N109" s="4"/>
      <c r="O109" s="4"/>
      <c r="P109" s="4"/>
      <c r="Q109" s="4"/>
      <c r="R109" s="4"/>
      <c r="S109" s="4"/>
      <c r="T109" s="4"/>
      <c r="U109" s="7"/>
      <c r="V109" s="7"/>
      <c r="W109" s="4"/>
      <c r="X109" s="4"/>
      <c r="Y109" s="4"/>
      <c r="Z109" s="4"/>
    </row>
    <row r="110">
      <c r="A110" s="28"/>
      <c r="B110" s="28"/>
      <c r="C110" s="4"/>
      <c r="D110" s="4"/>
      <c r="E110" s="4"/>
      <c r="F110" s="4"/>
      <c r="G110" s="37">
        <f>G22</f>
        <v>1000</v>
      </c>
      <c r="H110" s="176" t="s">
        <v>84</v>
      </c>
      <c r="I110" s="37">
        <f>K95</f>
        <v>75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7"/>
      <c r="V110" s="7"/>
      <c r="W110" s="4"/>
      <c r="X110" s="4"/>
      <c r="Y110" s="4"/>
      <c r="Z110" s="4"/>
    </row>
    <row r="111">
      <c r="A111" s="28"/>
      <c r="B111" s="2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7"/>
      <c r="V111" s="7"/>
      <c r="W111" s="4"/>
      <c r="X111" s="4"/>
      <c r="Y111" s="4"/>
      <c r="Z111" s="4"/>
    </row>
    <row r="112">
      <c r="A112" s="28"/>
      <c r="B112" s="28"/>
      <c r="C112" s="4"/>
      <c r="D112" s="4" t="s">
        <v>316</v>
      </c>
      <c r="E112" s="4"/>
      <c r="F112" s="4"/>
      <c r="G112" s="61">
        <v>8.0</v>
      </c>
      <c r="H112" s="4" t="s">
        <v>317</v>
      </c>
      <c r="I112" s="105" t="s">
        <v>318</v>
      </c>
      <c r="J112" s="4">
        <f>IF(G112=6,28.3,IF(G112=8,50.3,IF(G112=10,78.5,"chọn lại đường kính")))</f>
        <v>50.3</v>
      </c>
      <c r="K112" s="105" t="s">
        <v>319</v>
      </c>
      <c r="L112" s="4"/>
      <c r="M112" s="4"/>
      <c r="N112" s="4"/>
      <c r="O112" s="4"/>
      <c r="P112" s="4"/>
      <c r="Q112" s="4"/>
      <c r="R112" s="4"/>
      <c r="S112" s="4"/>
      <c r="T112" s="4"/>
      <c r="U112" s="7"/>
      <c r="V112" s="7"/>
      <c r="W112" s="4"/>
      <c r="X112" s="4"/>
      <c r="Y112" s="4"/>
      <c r="Z112" s="4"/>
    </row>
    <row r="113">
      <c r="A113" s="28"/>
      <c r="B113" s="28"/>
      <c r="C113" s="4"/>
      <c r="D113" s="4" t="s">
        <v>320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7"/>
      <c r="V113" s="7"/>
      <c r="W113" s="4"/>
      <c r="X113" s="4"/>
      <c r="Y113" s="4"/>
      <c r="Z113" s="4"/>
    </row>
    <row r="114">
      <c r="A114" s="28"/>
      <c r="B114" s="2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7"/>
      <c r="V114" s="7"/>
      <c r="W114" s="4"/>
      <c r="X114" s="4"/>
      <c r="Y114" s="4"/>
      <c r="Z114" s="4"/>
    </row>
    <row r="115">
      <c r="A115" s="28"/>
      <c r="B115" s="28"/>
      <c r="C115" s="4"/>
      <c r="D115" s="4"/>
      <c r="E115" s="65"/>
      <c r="F115" s="4"/>
      <c r="G115" s="115" t="s">
        <v>46</v>
      </c>
      <c r="H115" s="4">
        <f>G22</f>
        <v>1000</v>
      </c>
      <c r="I115" s="176" t="s">
        <v>84</v>
      </c>
      <c r="J115" s="37">
        <f>J112</f>
        <v>50.3</v>
      </c>
      <c r="K115" s="4" t="s">
        <v>324</v>
      </c>
      <c r="L115" s="4"/>
      <c r="M115" s="4"/>
      <c r="N115" s="4"/>
      <c r="O115" s="4"/>
      <c r="P115" s="4"/>
      <c r="Q115" s="4"/>
      <c r="R115" s="4"/>
      <c r="S115" s="4"/>
      <c r="T115" s="4"/>
      <c r="U115" s="7"/>
      <c r="V115" s="7"/>
      <c r="W115" s="4"/>
      <c r="X115" s="4"/>
      <c r="Y115" s="4"/>
      <c r="Z115" s="4"/>
    </row>
    <row r="116">
      <c r="A116" s="28"/>
      <c r="B116" s="28"/>
      <c r="C116" s="4"/>
      <c r="D116" s="4"/>
      <c r="E116" s="4"/>
      <c r="F116" s="4"/>
      <c r="G116" s="66" t="s">
        <v>328</v>
      </c>
      <c r="H116" s="4"/>
      <c r="I116" s="4"/>
      <c r="J116" s="4"/>
      <c r="K116" s="4"/>
      <c r="L116" s="230">
        <f>H115*J115/I117</f>
        <v>131.7144235</v>
      </c>
      <c r="M116" s="4" t="s">
        <v>21</v>
      </c>
      <c r="N116" s="4"/>
      <c r="O116" s="4"/>
      <c r="P116" s="4"/>
      <c r="Q116" s="4"/>
      <c r="R116" s="4"/>
      <c r="S116" s="4"/>
      <c r="T116" s="4"/>
      <c r="U116" s="231">
        <f>INT(L116)</f>
        <v>131</v>
      </c>
      <c r="V116" s="7"/>
      <c r="W116" s="4"/>
      <c r="X116" s="4"/>
      <c r="Y116" s="4"/>
      <c r="Z116" s="4"/>
    </row>
    <row r="117">
      <c r="A117" s="28"/>
      <c r="B117" s="28"/>
      <c r="C117" s="4"/>
      <c r="D117" s="4"/>
      <c r="E117" s="4"/>
      <c r="F117" s="4"/>
      <c r="G117" s="4"/>
      <c r="H117" s="4"/>
      <c r="I117" s="70">
        <f>K105</f>
        <v>381.8868023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7"/>
      <c r="V117" s="7"/>
      <c r="W117" s="4"/>
      <c r="X117" s="4"/>
      <c r="Y117" s="4"/>
      <c r="Z117" s="4"/>
    </row>
    <row r="118">
      <c r="A118" s="28"/>
      <c r="B118" s="2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7"/>
      <c r="V118" s="7"/>
      <c r="W118" s="4"/>
      <c r="X118" s="4"/>
      <c r="Y118" s="4"/>
      <c r="Z118" s="4"/>
    </row>
    <row r="119" ht="19.5" customHeight="1">
      <c r="A119" s="28"/>
      <c r="B119" s="28"/>
      <c r="C119" s="60" t="s">
        <v>336</v>
      </c>
      <c r="D119" s="28" t="s">
        <v>337</v>
      </c>
      <c r="E119" s="28">
        <f>G112</f>
        <v>8</v>
      </c>
      <c r="F119" s="101" t="s">
        <v>339</v>
      </c>
      <c r="G119" s="28">
        <f>10*(INT(U116/10))</f>
        <v>130</v>
      </c>
      <c r="H119" s="28" t="s">
        <v>21</v>
      </c>
      <c r="I119" s="4"/>
      <c r="J119" s="4"/>
      <c r="K119" s="4"/>
      <c r="L119" s="216" t="str">
        <f>IF(G119&lt;70,"{Khoảng cách s quá bé, nên chọn lại đường kính cốt thép}",IF(G119&gt;200,"{Khoảng cách s quá lớn, nên chọn lại đường kính cốt thép}",""))</f>
        <v/>
      </c>
      <c r="M119" s="4"/>
      <c r="N119" s="4"/>
      <c r="O119" s="4"/>
      <c r="P119" s="4"/>
      <c r="Q119" s="4"/>
      <c r="R119" s="4"/>
      <c r="S119" s="4"/>
      <c r="T119" s="4"/>
      <c r="U119" s="7"/>
      <c r="V119" s="7"/>
      <c r="W119" s="4"/>
      <c r="X119" s="4"/>
      <c r="Y119" s="4"/>
      <c r="Z119" s="4"/>
    </row>
    <row r="120">
      <c r="A120" s="28"/>
      <c r="B120" s="2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7"/>
      <c r="V120" s="7"/>
      <c r="W120" s="4"/>
      <c r="X120" s="4"/>
      <c r="Y120" s="4"/>
      <c r="Z120" s="4"/>
    </row>
    <row r="121">
      <c r="A121" s="28"/>
      <c r="B121" s="28"/>
      <c r="C121" s="60" t="s">
        <v>251</v>
      </c>
      <c r="D121" s="28" t="s">
        <v>342</v>
      </c>
      <c r="E121" s="4"/>
      <c r="F121" s="4"/>
      <c r="G121" s="4"/>
      <c r="H121" s="196">
        <f>K85</f>
        <v>3.993047975</v>
      </c>
      <c r="I121" s="28" t="s">
        <v>282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7"/>
      <c r="V121" s="7"/>
      <c r="W121" s="4"/>
      <c r="X121" s="4"/>
      <c r="Y121" s="4"/>
      <c r="Z121" s="4"/>
    </row>
    <row r="122">
      <c r="A122" s="28"/>
      <c r="B122" s="28"/>
      <c r="C122" s="4"/>
      <c r="D122" s="4"/>
      <c r="E122" s="4"/>
      <c r="F122" s="197">
        <f>H121</f>
        <v>3.993047975</v>
      </c>
      <c r="G122" s="176" t="s">
        <v>84</v>
      </c>
      <c r="H122" s="4">
        <v>1000000.0</v>
      </c>
      <c r="I122" s="4" t="s">
        <v>285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7"/>
      <c r="V122" s="7"/>
      <c r="W122" s="4"/>
      <c r="X122" s="4"/>
      <c r="Y122" s="4"/>
      <c r="Z122" s="4"/>
    </row>
    <row r="123">
      <c r="A123" s="28"/>
      <c r="B123" s="28"/>
      <c r="C123" s="4"/>
      <c r="D123" s="4"/>
      <c r="E123" s="65"/>
      <c r="F123" s="66" t="s">
        <v>289</v>
      </c>
      <c r="G123" s="4"/>
      <c r="H123" s="4"/>
      <c r="I123" s="4"/>
      <c r="J123" s="4"/>
      <c r="K123" s="117">
        <f>F122*1000000/(F124*G124*H124*H124)</f>
        <v>0.06172827787</v>
      </c>
      <c r="L123" s="65"/>
      <c r="M123" s="4"/>
      <c r="N123" s="4"/>
      <c r="O123" s="4"/>
      <c r="P123" s="4"/>
      <c r="Q123" s="4"/>
      <c r="R123" s="4"/>
      <c r="S123" s="4"/>
      <c r="T123" s="4"/>
      <c r="U123" s="7"/>
      <c r="V123" s="7"/>
      <c r="W123" s="4"/>
      <c r="X123" s="4"/>
      <c r="Y123" s="4"/>
      <c r="Z123" s="4"/>
    </row>
    <row r="124">
      <c r="A124" s="28"/>
      <c r="B124" s="28"/>
      <c r="C124" s="4"/>
      <c r="D124" s="4"/>
      <c r="E124" s="4"/>
      <c r="F124" s="115">
        <f>'Nhập Rs thep CV240,300,400 '!E52</f>
        <v>11.5</v>
      </c>
      <c r="G124" s="37">
        <v>1000.0</v>
      </c>
      <c r="H124" s="115">
        <f>K95</f>
        <v>75</v>
      </c>
      <c r="I124" s="66" t="s">
        <v>292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7"/>
      <c r="V124" s="7"/>
      <c r="W124" s="4"/>
      <c r="X124" s="4"/>
      <c r="Y124" s="4"/>
      <c r="Z124" s="4"/>
    </row>
    <row r="125">
      <c r="A125" s="28"/>
      <c r="B125" s="28"/>
      <c r="C125" s="4"/>
      <c r="D125" s="4"/>
      <c r="E125" s="4"/>
      <c r="F125" s="115"/>
      <c r="G125" s="37"/>
      <c r="H125" s="11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7"/>
      <c r="V125" s="7"/>
      <c r="W125" s="4"/>
      <c r="X125" s="4"/>
      <c r="Y125" s="4"/>
      <c r="Z125" s="4"/>
    </row>
    <row r="126">
      <c r="A126" s="28"/>
      <c r="B126" s="28"/>
      <c r="C126" s="4"/>
      <c r="D126" s="4"/>
      <c r="E126" s="4"/>
      <c r="F126" s="4"/>
      <c r="G126" s="4"/>
      <c r="H126" s="199">
        <f>K123</f>
        <v>0.06172827787</v>
      </c>
      <c r="I126" s="200" t="s">
        <v>40</v>
      </c>
      <c r="J126" s="117">
        <f>(1+SQRT(1-2*H126))/2</f>
        <v>0.9681194944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7"/>
      <c r="V126" s="7"/>
      <c r="W126" s="4"/>
      <c r="X126" s="4"/>
      <c r="Y126" s="4"/>
      <c r="Z126" s="4"/>
    </row>
    <row r="127">
      <c r="A127" s="28"/>
      <c r="B127" s="28"/>
      <c r="C127" s="4"/>
      <c r="D127" s="6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7"/>
      <c r="V127" s="7"/>
      <c r="W127" s="4"/>
      <c r="X127" s="4"/>
      <c r="Y127" s="4"/>
      <c r="Z127" s="4"/>
    </row>
    <row r="128">
      <c r="A128" s="28"/>
      <c r="B128" s="2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7"/>
      <c r="V128" s="7"/>
      <c r="W128" s="4"/>
      <c r="X128" s="4"/>
      <c r="Y128" s="4"/>
      <c r="Z128" s="4"/>
    </row>
    <row r="129">
      <c r="A129" s="28"/>
      <c r="B129" s="28"/>
      <c r="C129" s="4"/>
      <c r="D129" s="65"/>
      <c r="E129" s="4"/>
      <c r="F129" s="193">
        <f>H121</f>
        <v>3.993047975</v>
      </c>
      <c r="G129" s="176" t="s">
        <v>84</v>
      </c>
      <c r="H129" s="4">
        <v>1000000.0</v>
      </c>
      <c r="I129" s="4" t="s">
        <v>285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7"/>
      <c r="V129" s="7"/>
      <c r="W129" s="4"/>
      <c r="X129" s="4"/>
      <c r="Y129" s="4"/>
      <c r="Z129" s="4"/>
    </row>
    <row r="130">
      <c r="A130" s="28"/>
      <c r="B130" s="28"/>
      <c r="C130" s="4"/>
      <c r="D130" s="4"/>
      <c r="E130" s="4"/>
      <c r="F130" s="208" t="s">
        <v>308</v>
      </c>
      <c r="G130" s="4"/>
      <c r="H130" s="4"/>
      <c r="I130" s="4"/>
      <c r="J130" s="4"/>
      <c r="K130" s="70">
        <f>(F129*1000000)/(F131*G131*H131)</f>
        <v>261.8755815</v>
      </c>
      <c r="L130" s="105" t="s">
        <v>345</v>
      </c>
      <c r="M130" s="4"/>
      <c r="N130" s="4"/>
      <c r="O130" s="4"/>
      <c r="P130" s="4"/>
      <c r="Q130" s="4"/>
      <c r="R130" s="4"/>
      <c r="S130" s="4"/>
      <c r="T130" s="4"/>
      <c r="U130" s="7"/>
      <c r="V130" s="7"/>
      <c r="W130" s="4"/>
      <c r="X130" s="4"/>
      <c r="Y130" s="4"/>
      <c r="Z130" s="4"/>
    </row>
    <row r="131">
      <c r="A131" s="28"/>
      <c r="B131" s="28"/>
      <c r="C131" s="4"/>
      <c r="D131" s="4"/>
      <c r="E131" s="4"/>
      <c r="F131" s="37">
        <f>'Nhập Rs thep CV240,300,400 '!J53</f>
        <v>210</v>
      </c>
      <c r="G131" s="110">
        <f>J126</f>
        <v>0.9681194944</v>
      </c>
      <c r="H131" s="37">
        <f>K95</f>
        <v>75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7"/>
      <c r="V131" s="7"/>
      <c r="W131" s="4"/>
      <c r="X131" s="4"/>
      <c r="Y131" s="4"/>
      <c r="Z131" s="4"/>
    </row>
    <row r="132">
      <c r="A132" s="28"/>
      <c r="B132" s="2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7"/>
      <c r="V132" s="7"/>
      <c r="W132" s="4"/>
      <c r="X132" s="4"/>
      <c r="Y132" s="4"/>
      <c r="Z132" s="4"/>
    </row>
    <row r="133">
      <c r="A133" s="28"/>
      <c r="B133" s="28"/>
      <c r="C133" s="4"/>
      <c r="D133" s="4"/>
      <c r="E133" s="4"/>
      <c r="F133" s="4"/>
      <c r="G133" s="4"/>
      <c r="H133" s="70">
        <f>K130</f>
        <v>261.8755815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7"/>
      <c r="V133" s="7"/>
      <c r="W133" s="4"/>
      <c r="X133" s="4"/>
      <c r="Y133" s="4"/>
      <c r="Z133" s="4"/>
    </row>
    <row r="134">
      <c r="A134" s="28"/>
      <c r="B134" s="28"/>
      <c r="C134" s="4"/>
      <c r="D134" s="4"/>
      <c r="E134" s="65"/>
      <c r="F134" s="4"/>
      <c r="G134" s="66" t="s">
        <v>312</v>
      </c>
      <c r="H134" s="4"/>
      <c r="I134" s="4"/>
      <c r="J134" s="4"/>
      <c r="K134" s="241">
        <f>H133/(G135*I135)</f>
        <v>0.00349167442</v>
      </c>
      <c r="L134" s="216" t="str">
        <f>IF(K134&lt;0.003,"{chiều dày bản quá lớn, hãy giảm chiều dày bản và tính lại}",IF(K134&gt;0.009,"{chiều dày bản quá bé, tăng chiều dày bản và tính lại}",""))</f>
        <v/>
      </c>
      <c r="M134" s="4"/>
      <c r="N134" s="4"/>
      <c r="O134" s="4"/>
      <c r="P134" s="4"/>
      <c r="Q134" s="4"/>
      <c r="R134" s="4"/>
      <c r="S134" s="4"/>
      <c r="T134" s="4"/>
      <c r="U134" s="7"/>
      <c r="V134" s="7"/>
      <c r="W134" s="4"/>
      <c r="X134" s="4"/>
      <c r="Y134" s="4"/>
      <c r="Z134" s="4"/>
    </row>
    <row r="135">
      <c r="A135" s="28"/>
      <c r="B135" s="28"/>
      <c r="C135" s="4"/>
      <c r="D135" s="4"/>
      <c r="E135" s="4"/>
      <c r="F135" s="4"/>
      <c r="G135" s="37">
        <f>G22</f>
        <v>1000</v>
      </c>
      <c r="H135" s="176" t="s">
        <v>84</v>
      </c>
      <c r="I135" s="37">
        <f>K95</f>
        <v>75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7"/>
      <c r="V135" s="7"/>
      <c r="W135" s="4"/>
      <c r="X135" s="4"/>
      <c r="Y135" s="4"/>
      <c r="Z135" s="4"/>
    </row>
    <row r="136">
      <c r="A136" s="28"/>
      <c r="B136" s="2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7"/>
      <c r="V136" s="7"/>
      <c r="W136" s="4"/>
      <c r="X136" s="4"/>
      <c r="Y136" s="4"/>
      <c r="Z136" s="4"/>
    </row>
    <row r="137">
      <c r="A137" s="28"/>
      <c r="B137" s="28"/>
      <c r="C137" s="4"/>
      <c r="D137" s="4" t="s">
        <v>316</v>
      </c>
      <c r="E137" s="4"/>
      <c r="F137" s="4"/>
      <c r="G137" s="61">
        <v>8.0</v>
      </c>
      <c r="H137" s="4" t="s">
        <v>317</v>
      </c>
      <c r="I137" s="105" t="s">
        <v>346</v>
      </c>
      <c r="J137" s="4">
        <f>IF(G137=6,28.3,IF(G137=8,50.3,IF(G137=10,78.5,"chọn lại đường kính")))</f>
        <v>50.3</v>
      </c>
      <c r="K137" s="105" t="s">
        <v>347</v>
      </c>
      <c r="L137" s="4"/>
      <c r="M137" s="4"/>
      <c r="N137" s="4"/>
      <c r="O137" s="4"/>
      <c r="P137" s="4"/>
      <c r="Q137" s="4"/>
      <c r="R137" s="4"/>
      <c r="S137" s="4"/>
      <c r="T137" s="4"/>
      <c r="U137" s="7"/>
      <c r="V137" s="7"/>
      <c r="W137" s="4"/>
      <c r="X137" s="4"/>
      <c r="Y137" s="4"/>
      <c r="Z137" s="4"/>
    </row>
    <row r="138">
      <c r="A138" s="28"/>
      <c r="B138" s="28"/>
      <c r="C138" s="4"/>
      <c r="D138" s="4" t="s">
        <v>320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7"/>
      <c r="V138" s="7"/>
      <c r="W138" s="4"/>
      <c r="X138" s="4"/>
      <c r="Y138" s="4"/>
      <c r="Z138" s="4"/>
    </row>
    <row r="139">
      <c r="A139" s="28"/>
      <c r="B139" s="2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7"/>
      <c r="V139" s="7"/>
      <c r="W139" s="4"/>
      <c r="X139" s="4"/>
      <c r="Y139" s="4"/>
      <c r="Z139" s="4"/>
    </row>
    <row r="140">
      <c r="A140" s="28"/>
      <c r="B140" s="28"/>
      <c r="C140" s="4"/>
      <c r="D140" s="4"/>
      <c r="E140" s="65"/>
      <c r="F140" s="4"/>
      <c r="G140" s="115" t="s">
        <v>46</v>
      </c>
      <c r="H140" s="4">
        <f>G22</f>
        <v>1000</v>
      </c>
      <c r="I140" s="176" t="s">
        <v>84</v>
      </c>
      <c r="J140" s="37">
        <f>J137</f>
        <v>50.3</v>
      </c>
      <c r="K140" s="4" t="s">
        <v>324</v>
      </c>
      <c r="L140" s="4"/>
      <c r="M140" s="4"/>
      <c r="N140" s="4"/>
      <c r="O140" s="4"/>
      <c r="P140" s="4"/>
      <c r="Q140" s="4"/>
      <c r="R140" s="4"/>
      <c r="S140" s="4"/>
      <c r="T140" s="4"/>
      <c r="U140" s="7"/>
      <c r="V140" s="7"/>
      <c r="W140" s="4"/>
      <c r="X140" s="4"/>
      <c r="Y140" s="4"/>
      <c r="Z140" s="4"/>
    </row>
    <row r="141">
      <c r="A141" s="28"/>
      <c r="B141" s="28"/>
      <c r="C141" s="4"/>
      <c r="D141" s="4"/>
      <c r="E141" s="4"/>
      <c r="F141" s="4"/>
      <c r="G141" s="66" t="s">
        <v>354</v>
      </c>
      <c r="H141" s="4"/>
      <c r="I141" s="4"/>
      <c r="J141" s="4"/>
      <c r="K141" s="4"/>
      <c r="L141" s="230">
        <f>H140*J140/I142</f>
        <v>192.0759458</v>
      </c>
      <c r="M141" s="4" t="s">
        <v>21</v>
      </c>
      <c r="N141" s="4"/>
      <c r="O141" s="4"/>
      <c r="P141" s="4"/>
      <c r="Q141" s="4"/>
      <c r="R141" s="4"/>
      <c r="S141" s="4"/>
      <c r="T141" s="4"/>
      <c r="U141" s="231">
        <f>INT(L141)</f>
        <v>192</v>
      </c>
      <c r="V141" s="7"/>
      <c r="W141" s="4"/>
      <c r="X141" s="4"/>
      <c r="Y141" s="4"/>
      <c r="Z141" s="4"/>
    </row>
    <row r="142">
      <c r="A142" s="28"/>
      <c r="B142" s="28"/>
      <c r="C142" s="4"/>
      <c r="D142" s="4"/>
      <c r="E142" s="4"/>
      <c r="F142" s="4"/>
      <c r="G142" s="4"/>
      <c r="H142" s="4"/>
      <c r="I142" s="70">
        <f>K130</f>
        <v>261.8755815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7"/>
      <c r="V142" s="7"/>
      <c r="W142" s="4"/>
      <c r="X142" s="4"/>
      <c r="Y142" s="4"/>
      <c r="Z142" s="4"/>
    </row>
    <row r="143">
      <c r="A143" s="28"/>
      <c r="B143" s="2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7"/>
      <c r="V143" s="7"/>
      <c r="W143" s="4"/>
      <c r="X143" s="4"/>
      <c r="Y143" s="4"/>
      <c r="Z143" s="4"/>
    </row>
    <row r="144">
      <c r="A144" s="28"/>
      <c r="B144" s="28"/>
      <c r="C144" s="60" t="s">
        <v>336</v>
      </c>
      <c r="D144" s="243" t="s">
        <v>358</v>
      </c>
      <c r="E144" s="243">
        <f>G137</f>
        <v>8</v>
      </c>
      <c r="F144" s="244" t="s">
        <v>339</v>
      </c>
      <c r="G144" s="243">
        <f>10*(INT(U141/10))</f>
        <v>190</v>
      </c>
      <c r="H144" s="243" t="s">
        <v>21</v>
      </c>
      <c r="I144" s="4"/>
      <c r="J144" s="4"/>
      <c r="K144" s="4"/>
      <c r="L144" s="216" t="str">
        <f>IF(G144&lt;70,"{Khoảng cách s quá bé, nên chọn lại đường kính cốt thép}",IF(G144&gt;200,"{Khoảng cách s quá lớn, nên chọn lại đường kính cốt thép}",""))</f>
        <v/>
      </c>
      <c r="M144" s="4"/>
      <c r="N144" s="4"/>
      <c r="O144" s="4"/>
      <c r="P144" s="4"/>
      <c r="Q144" s="4"/>
      <c r="R144" s="4"/>
      <c r="S144" s="4"/>
      <c r="T144" s="4"/>
      <c r="U144" s="7"/>
      <c r="V144" s="7"/>
      <c r="W144" s="4"/>
      <c r="X144" s="4"/>
      <c r="Y144" s="4"/>
      <c r="Z144" s="4"/>
    </row>
    <row r="145">
      <c r="A145" s="28"/>
      <c r="B145" s="28"/>
      <c r="C145" s="60" t="s">
        <v>251</v>
      </c>
      <c r="D145" s="28" t="s">
        <v>365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7"/>
      <c r="V145" s="7"/>
      <c r="W145" s="4"/>
      <c r="X145" s="4"/>
      <c r="Y145" s="4"/>
      <c r="Z145" s="4"/>
    </row>
    <row r="146">
      <c r="A146" s="28"/>
      <c r="B146" s="2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7"/>
      <c r="V146" s="7"/>
      <c r="W146" s="4"/>
      <c r="X146" s="4"/>
      <c r="Y146" s="4"/>
      <c r="Z146" s="4"/>
    </row>
    <row r="147">
      <c r="A147" s="28"/>
      <c r="B147" s="28"/>
      <c r="C147" s="4"/>
      <c r="D147" s="105"/>
      <c r="E147" s="115" t="s">
        <v>370</v>
      </c>
      <c r="F147" s="98">
        <f>K130</f>
        <v>261.8755815</v>
      </c>
      <c r="G147" s="66" t="s">
        <v>40</v>
      </c>
      <c r="H147" s="70">
        <f>0.8*F147</f>
        <v>209.5004652</v>
      </c>
      <c r="I147" s="105" t="s">
        <v>371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7"/>
      <c r="V147" s="7"/>
      <c r="W147" s="4"/>
      <c r="X147" s="4"/>
      <c r="Y147" s="4"/>
      <c r="Z147" s="4"/>
    </row>
    <row r="148">
      <c r="A148" s="28"/>
      <c r="B148" s="28"/>
      <c r="C148" s="4"/>
      <c r="D148" s="4"/>
      <c r="E148" s="4"/>
      <c r="F148" s="98"/>
      <c r="G148" s="98">
        <f>H147</f>
        <v>209.5004652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7"/>
      <c r="V148" s="7"/>
      <c r="W148" s="4"/>
      <c r="X148" s="4"/>
      <c r="Y148" s="4"/>
      <c r="Z148" s="4"/>
    </row>
    <row r="149">
      <c r="A149" s="28"/>
      <c r="B149" s="28"/>
      <c r="C149" s="4"/>
      <c r="D149" s="4"/>
      <c r="E149" s="248" t="s">
        <v>376</v>
      </c>
      <c r="F149" s="4" t="s">
        <v>377</v>
      </c>
      <c r="G149" s="4"/>
      <c r="H149" s="4"/>
      <c r="I149" s="249">
        <v>1.0</v>
      </c>
      <c r="J149" s="66" t="s">
        <v>40</v>
      </c>
      <c r="K149" s="215">
        <f>G148/(F150*H150)</f>
        <v>0.002793339536</v>
      </c>
      <c r="L149" s="4"/>
      <c r="M149" s="4"/>
      <c r="N149" s="4"/>
      <c r="O149" s="4"/>
      <c r="P149" s="4"/>
      <c r="Q149" s="4"/>
      <c r="R149" s="4"/>
      <c r="S149" s="4"/>
      <c r="T149" s="4"/>
      <c r="U149" s="7"/>
      <c r="V149" s="7"/>
      <c r="W149" s="4"/>
      <c r="X149" s="4"/>
      <c r="Y149" s="4"/>
      <c r="Z149" s="4"/>
    </row>
    <row r="150">
      <c r="A150" s="28"/>
      <c r="B150" s="28"/>
      <c r="C150" s="4"/>
      <c r="D150" s="4"/>
      <c r="E150" s="4"/>
      <c r="F150" s="4">
        <f>G22</f>
        <v>1000</v>
      </c>
      <c r="G150" s="176" t="s">
        <v>84</v>
      </c>
      <c r="H150" s="4">
        <f>K95</f>
        <v>75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7"/>
      <c r="V150" s="7"/>
      <c r="W150" s="4"/>
      <c r="X150" s="4"/>
      <c r="Y150" s="4"/>
      <c r="Z150" s="4"/>
    </row>
    <row r="151">
      <c r="A151" s="28"/>
      <c r="B151" s="2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7"/>
      <c r="V151" s="7"/>
      <c r="W151" s="4"/>
      <c r="X151" s="4"/>
      <c r="Y151" s="4"/>
      <c r="Z151" s="4"/>
    </row>
    <row r="152">
      <c r="A152" s="28"/>
      <c r="B152" s="28"/>
      <c r="C152" s="4"/>
      <c r="D152" s="4" t="s">
        <v>382</v>
      </c>
      <c r="E152" s="61">
        <v>6.0</v>
      </c>
      <c r="F152" s="4" t="s">
        <v>21</v>
      </c>
      <c r="G152" s="66" t="s">
        <v>384</v>
      </c>
      <c r="H152" s="250">
        <f>IF(E152=6,(G22*28.3/H147),IF(E152=8,(G22*50.3/H147),IF(E152=10,(G22*78.5/H147))))</f>
        <v>135.0832323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231">
        <f>INT(H152)</f>
        <v>135</v>
      </c>
      <c r="V152" s="7"/>
      <c r="W152" s="4"/>
      <c r="X152" s="4"/>
      <c r="Y152" s="4"/>
      <c r="Z152" s="4"/>
    </row>
    <row r="153">
      <c r="A153" s="28"/>
      <c r="B153" s="2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7"/>
      <c r="V153" s="7"/>
      <c r="W153" s="4"/>
      <c r="X153" s="4"/>
      <c r="Y153" s="4"/>
      <c r="Z153" s="4"/>
    </row>
    <row r="154">
      <c r="A154" s="28"/>
      <c r="B154" s="28"/>
      <c r="C154" s="60" t="s">
        <v>336</v>
      </c>
      <c r="D154" s="243" t="s">
        <v>388</v>
      </c>
      <c r="E154" s="243">
        <f>E152</f>
        <v>6</v>
      </c>
      <c r="F154" s="244" t="s">
        <v>339</v>
      </c>
      <c r="G154" s="243">
        <f>10*INT(U152/10)</f>
        <v>130</v>
      </c>
      <c r="H154" s="243" t="s">
        <v>21</v>
      </c>
      <c r="I154" s="4"/>
      <c r="J154" s="4"/>
      <c r="K154" s="4"/>
      <c r="L154" s="216" t="str">
        <f>IF(G154&lt;70,"{khoảng cách s quá bé, nên chọn lại đường kính cốt thép}",IF(G154&gt;200,"khoảng cách s quá lớn, nên chọn lại đường kính cốt thép}",""))</f>
        <v/>
      </c>
      <c r="M154" s="4"/>
      <c r="N154" s="4"/>
      <c r="O154" s="4"/>
      <c r="P154" s="4"/>
      <c r="Q154" s="4"/>
      <c r="R154" s="4"/>
      <c r="S154" s="4"/>
      <c r="T154" s="4"/>
      <c r="U154" s="7"/>
      <c r="V154" s="7"/>
      <c r="W154" s="4"/>
      <c r="X154" s="4"/>
      <c r="Y154" s="4"/>
      <c r="Z154" s="4"/>
    </row>
    <row r="155">
      <c r="A155" s="28"/>
      <c r="B155" s="28"/>
      <c r="C155" s="28"/>
      <c r="D155" s="28"/>
      <c r="E155" s="28"/>
      <c r="F155" s="101"/>
      <c r="G155" s="28"/>
      <c r="H155" s="28"/>
      <c r="I155" s="4"/>
      <c r="J155" s="4"/>
      <c r="K155" s="4"/>
      <c r="L155" s="216"/>
      <c r="M155" s="4"/>
      <c r="N155" s="4"/>
      <c r="O155" s="4"/>
      <c r="P155" s="4"/>
      <c r="Q155" s="4"/>
      <c r="R155" s="4"/>
      <c r="S155" s="4"/>
      <c r="T155" s="4"/>
      <c r="U155" s="7"/>
      <c r="V155" s="7"/>
      <c r="W155" s="4"/>
      <c r="X155" s="4"/>
      <c r="Y155" s="4"/>
      <c r="Z155" s="4"/>
    </row>
    <row r="156" ht="14.25" customHeight="1">
      <c r="A156" s="28"/>
      <c r="B156" s="28"/>
      <c r="C156" s="28"/>
      <c r="D156" s="28"/>
      <c r="E156" s="28"/>
      <c r="F156" s="101"/>
      <c r="G156" s="28"/>
      <c r="H156" s="28"/>
      <c r="I156" s="4"/>
      <c r="J156" s="4"/>
      <c r="K156" s="4"/>
      <c r="L156" s="216"/>
      <c r="M156" s="4"/>
      <c r="N156" s="4"/>
      <c r="O156" s="4"/>
      <c r="P156" s="4"/>
      <c r="Q156" s="4"/>
      <c r="R156" s="4"/>
      <c r="S156" s="4"/>
      <c r="T156" s="4"/>
      <c r="U156" s="7"/>
      <c r="V156" s="7"/>
      <c r="W156" s="4"/>
      <c r="X156" s="4"/>
      <c r="Y156" s="4"/>
      <c r="Z156" s="4"/>
    </row>
    <row r="157" ht="6.0" hidden="1" customHeight="1">
      <c r="A157" s="28"/>
      <c r="B157" s="28"/>
      <c r="C157" s="28"/>
      <c r="D157" s="28"/>
      <c r="E157" s="28"/>
      <c r="F157" s="101"/>
      <c r="G157" s="28"/>
      <c r="H157" s="28"/>
      <c r="I157" s="4"/>
      <c r="J157" s="4"/>
      <c r="K157" s="4"/>
      <c r="L157" s="216"/>
      <c r="M157" s="4"/>
      <c r="N157" s="4"/>
      <c r="O157" s="4"/>
      <c r="P157" s="4"/>
      <c r="Q157" s="4"/>
      <c r="R157" s="4"/>
      <c r="S157" s="4"/>
      <c r="T157" s="4"/>
      <c r="U157" s="7"/>
      <c r="V157" s="7"/>
      <c r="W157" s="4"/>
      <c r="X157" s="4"/>
      <c r="Y157" s="4"/>
      <c r="Z157" s="4"/>
    </row>
    <row r="158" hidden="1">
      <c r="A158" s="28"/>
      <c r="B158" s="28"/>
      <c r="C158" s="28"/>
      <c r="D158" s="28"/>
      <c r="E158" s="28"/>
      <c r="F158" s="101"/>
      <c r="G158" s="28"/>
      <c r="H158" s="28"/>
      <c r="I158" s="4"/>
      <c r="J158" s="4"/>
      <c r="K158" s="4"/>
      <c r="L158" s="216"/>
      <c r="M158" s="4"/>
      <c r="N158" s="4"/>
      <c r="O158" s="4"/>
      <c r="P158" s="4"/>
      <c r="Q158" s="4"/>
      <c r="R158" s="4"/>
      <c r="S158" s="4"/>
      <c r="T158" s="4"/>
      <c r="U158" s="7"/>
      <c r="V158" s="7"/>
      <c r="W158" s="4"/>
      <c r="X158" s="4"/>
      <c r="Y158" s="4"/>
      <c r="Z158" s="4"/>
    </row>
    <row r="159" hidden="1">
      <c r="A159" s="28"/>
      <c r="B159" s="28"/>
      <c r="C159" s="28"/>
      <c r="D159" s="28"/>
      <c r="E159" s="28"/>
      <c r="F159" s="101"/>
      <c r="G159" s="28"/>
      <c r="H159" s="28"/>
      <c r="I159" s="4"/>
      <c r="J159" s="4"/>
      <c r="K159" s="4"/>
      <c r="L159" s="216"/>
      <c r="M159" s="4"/>
      <c r="N159" s="4"/>
      <c r="O159" s="4"/>
      <c r="P159" s="4"/>
      <c r="Q159" s="4"/>
      <c r="R159" s="4"/>
      <c r="S159" s="4"/>
      <c r="T159" s="4"/>
      <c r="U159" s="7"/>
      <c r="V159" s="7"/>
      <c r="W159" s="4"/>
      <c r="X159" s="4"/>
      <c r="Y159" s="4"/>
      <c r="Z159" s="4"/>
    </row>
    <row r="160" hidden="1">
      <c r="A160" s="28"/>
      <c r="B160" s="28"/>
      <c r="C160" s="28"/>
      <c r="D160" s="28"/>
      <c r="E160" s="28"/>
      <c r="F160" s="101"/>
      <c r="G160" s="28"/>
      <c r="H160" s="28"/>
      <c r="I160" s="4"/>
      <c r="J160" s="4"/>
      <c r="K160" s="4"/>
      <c r="L160" s="216"/>
      <c r="M160" s="4"/>
      <c r="N160" s="4"/>
      <c r="O160" s="4"/>
      <c r="P160" s="4"/>
      <c r="Q160" s="4"/>
      <c r="R160" s="4"/>
      <c r="S160" s="4"/>
      <c r="T160" s="4"/>
      <c r="U160" s="7"/>
      <c r="V160" s="7"/>
      <c r="W160" s="4"/>
      <c r="X160" s="4"/>
      <c r="Y160" s="4"/>
      <c r="Z160" s="4"/>
    </row>
    <row r="161" hidden="1">
      <c r="A161" s="28"/>
      <c r="B161" s="28"/>
      <c r="C161" s="28"/>
      <c r="D161" s="28"/>
      <c r="E161" s="28"/>
      <c r="F161" s="101"/>
      <c r="G161" s="28"/>
      <c r="H161" s="28"/>
      <c r="I161" s="4"/>
      <c r="J161" s="4"/>
      <c r="K161" s="4"/>
      <c r="L161" s="216"/>
      <c r="M161" s="4"/>
      <c r="N161" s="4"/>
      <c r="O161" s="4"/>
      <c r="P161" s="4"/>
      <c r="Q161" s="4"/>
      <c r="R161" s="4"/>
      <c r="S161" s="4"/>
      <c r="T161" s="4"/>
      <c r="U161" s="7"/>
      <c r="V161" s="7"/>
      <c r="W161" s="4"/>
      <c r="X161" s="4"/>
      <c r="Y161" s="4"/>
      <c r="Z161" s="4"/>
    </row>
    <row r="162">
      <c r="A162" s="28"/>
      <c r="B162" s="28"/>
      <c r="C162" s="28"/>
      <c r="D162" s="28"/>
      <c r="E162" s="28"/>
      <c r="F162" s="101"/>
      <c r="G162" s="28"/>
      <c r="H162" s="28"/>
      <c r="I162" s="4"/>
      <c r="J162" s="4"/>
      <c r="K162" s="4"/>
      <c r="L162" s="216"/>
      <c r="M162" s="4"/>
      <c r="N162" s="4"/>
      <c r="O162" s="4"/>
      <c r="P162" s="4"/>
      <c r="Q162" s="4"/>
      <c r="R162" s="4"/>
      <c r="S162" s="4"/>
      <c r="T162" s="4"/>
      <c r="U162" s="7"/>
      <c r="V162" s="7"/>
      <c r="W162" s="4"/>
      <c r="X162" s="4"/>
      <c r="Y162" s="4"/>
      <c r="Z162" s="4"/>
    </row>
    <row r="163" ht="10.5" hidden="1" customHeight="1">
      <c r="A163" s="28"/>
      <c r="B163" s="28"/>
      <c r="C163" s="28"/>
      <c r="D163" s="28"/>
      <c r="E163" s="28"/>
      <c r="F163" s="101"/>
      <c r="G163" s="28"/>
      <c r="H163" s="28"/>
      <c r="I163" s="4"/>
      <c r="J163" s="4"/>
      <c r="K163" s="4"/>
      <c r="L163" s="216"/>
      <c r="M163" s="4"/>
      <c r="N163" s="4"/>
      <c r="O163" s="4"/>
      <c r="P163" s="4"/>
      <c r="Q163" s="4"/>
      <c r="R163" s="4"/>
      <c r="S163" s="4"/>
      <c r="T163" s="4"/>
      <c r="U163" s="7"/>
      <c r="V163" s="7"/>
      <c r="W163" s="4"/>
      <c r="X163" s="4"/>
      <c r="Y163" s="4"/>
      <c r="Z163" s="4"/>
    </row>
    <row r="164" hidden="1">
      <c r="A164" s="28"/>
      <c r="B164" s="28"/>
      <c r="C164" s="28"/>
      <c r="D164" s="28"/>
      <c r="E164" s="28"/>
      <c r="F164" s="101"/>
      <c r="G164" s="28"/>
      <c r="H164" s="28"/>
      <c r="I164" s="4"/>
      <c r="J164" s="4"/>
      <c r="K164" s="4"/>
      <c r="L164" s="216"/>
      <c r="M164" s="4"/>
      <c r="N164" s="4"/>
      <c r="O164" s="4"/>
      <c r="P164" s="4"/>
      <c r="Q164" s="4"/>
      <c r="R164" s="4"/>
      <c r="S164" s="4"/>
      <c r="T164" s="4"/>
      <c r="U164" s="7"/>
      <c r="V164" s="7"/>
      <c r="W164" s="4"/>
      <c r="X164" s="4"/>
      <c r="Y164" s="4"/>
      <c r="Z164" s="4"/>
    </row>
    <row r="165" hidden="1">
      <c r="A165" s="28"/>
      <c r="B165" s="28"/>
      <c r="C165" s="28"/>
      <c r="D165" s="28"/>
      <c r="E165" s="28"/>
      <c r="F165" s="101"/>
      <c r="G165" s="28"/>
      <c r="H165" s="28"/>
      <c r="I165" s="4"/>
      <c r="J165" s="4"/>
      <c r="K165" s="4"/>
      <c r="L165" s="216"/>
      <c r="M165" s="4"/>
      <c r="N165" s="4"/>
      <c r="O165" s="4"/>
      <c r="P165" s="4"/>
      <c r="Q165" s="4"/>
      <c r="R165" s="4"/>
      <c r="S165" s="4"/>
      <c r="T165" s="4"/>
      <c r="U165" s="7"/>
      <c r="V165" s="7"/>
      <c r="W165" s="4"/>
      <c r="X165" s="4"/>
      <c r="Y165" s="4"/>
      <c r="Z165" s="4"/>
    </row>
    <row r="166" ht="3.0" hidden="1" customHeight="1">
      <c r="A166" s="28"/>
      <c r="B166" s="28"/>
      <c r="C166" s="28"/>
      <c r="D166" s="28"/>
      <c r="E166" s="28"/>
      <c r="F166" s="101"/>
      <c r="G166" s="28"/>
      <c r="H166" s="28"/>
      <c r="I166" s="4"/>
      <c r="J166" s="4"/>
      <c r="K166" s="4"/>
      <c r="L166" s="216"/>
      <c r="M166" s="4"/>
      <c r="N166" s="4"/>
      <c r="O166" s="4"/>
      <c r="P166" s="4"/>
      <c r="Q166" s="4"/>
      <c r="R166" s="4"/>
      <c r="S166" s="4"/>
      <c r="T166" s="4"/>
      <c r="U166" s="7"/>
      <c r="V166" s="7"/>
      <c r="W166" s="4"/>
      <c r="X166" s="4"/>
      <c r="Y166" s="4"/>
      <c r="Z166" s="4"/>
    </row>
    <row r="167" ht="15.0" customHeight="1">
      <c r="A167" s="28"/>
      <c r="B167" s="28"/>
      <c r="C167" s="28"/>
      <c r="D167" s="28"/>
      <c r="E167" s="11" t="s">
        <v>4</v>
      </c>
      <c r="F167" s="12"/>
      <c r="G167" s="12"/>
      <c r="H167" s="12"/>
      <c r="I167" s="12"/>
      <c r="J167" s="12"/>
      <c r="K167" s="13"/>
      <c r="L167" s="216"/>
      <c r="M167" s="4"/>
      <c r="N167" s="4"/>
      <c r="O167" s="4"/>
      <c r="P167" s="4"/>
      <c r="Q167" s="4"/>
      <c r="R167" s="4"/>
      <c r="S167" s="4"/>
      <c r="T167" s="4"/>
      <c r="U167" s="7"/>
      <c r="V167" s="7"/>
      <c r="W167" s="4"/>
      <c r="X167" s="4"/>
      <c r="Y167" s="4"/>
      <c r="Z167" s="4"/>
    </row>
    <row r="168" ht="23.25" customHeight="1">
      <c r="A168" s="28"/>
      <c r="B168" s="28"/>
      <c r="C168" s="28"/>
      <c r="D168" s="28"/>
      <c r="E168" s="14"/>
      <c r="F168" s="15"/>
      <c r="G168" s="15"/>
      <c r="H168" s="15"/>
      <c r="I168" s="15"/>
      <c r="J168" s="15"/>
      <c r="K168" s="16"/>
      <c r="L168" s="216"/>
      <c r="M168" s="4"/>
      <c r="N168" s="4"/>
      <c r="O168" s="4"/>
      <c r="P168" s="4"/>
      <c r="Q168" s="4"/>
      <c r="R168" s="4"/>
      <c r="S168" s="4"/>
      <c r="T168" s="4"/>
      <c r="U168" s="7"/>
      <c r="V168" s="7"/>
      <c r="W168" s="4"/>
      <c r="X168" s="4"/>
      <c r="Y168" s="4"/>
      <c r="Z168" s="4"/>
    </row>
    <row r="169" ht="15.0" customHeight="1">
      <c r="A169" s="28"/>
      <c r="B169" s="28"/>
      <c r="C169" s="28"/>
      <c r="D169" s="28"/>
      <c r="E169" s="265" t="s">
        <v>12</v>
      </c>
      <c r="F169" s="20"/>
      <c r="G169" s="20"/>
      <c r="H169" s="20"/>
      <c r="I169" s="20"/>
      <c r="J169" s="20"/>
      <c r="K169" s="21"/>
      <c r="L169" s="216"/>
      <c r="M169" s="4"/>
      <c r="N169" s="4"/>
      <c r="O169" s="4"/>
      <c r="P169" s="4"/>
      <c r="Q169" s="4"/>
      <c r="R169" s="4"/>
      <c r="S169" s="4"/>
      <c r="T169" s="4"/>
      <c r="U169" s="7"/>
      <c r="V169" s="7"/>
      <c r="W169" s="4"/>
      <c r="X169" s="4"/>
      <c r="Y169" s="4"/>
      <c r="Z169" s="4"/>
    </row>
    <row r="170" ht="18.0" customHeight="1">
      <c r="A170" s="28"/>
      <c r="B170" s="28"/>
      <c r="C170" s="28"/>
      <c r="D170" s="28"/>
      <c r="E170" s="74"/>
      <c r="F170" s="75"/>
      <c r="G170" s="75"/>
      <c r="H170" s="75"/>
      <c r="I170" s="75"/>
      <c r="J170" s="75"/>
      <c r="K170" s="76"/>
      <c r="L170" s="216"/>
      <c r="M170" s="4"/>
      <c r="N170" s="4"/>
      <c r="O170" s="4"/>
      <c r="P170" s="4"/>
      <c r="Q170" s="4"/>
      <c r="R170" s="4"/>
      <c r="S170" s="4"/>
      <c r="T170" s="4"/>
      <c r="U170" s="7"/>
      <c r="V170" s="7"/>
      <c r="W170" s="4"/>
      <c r="X170" s="4"/>
      <c r="Y170" s="4"/>
      <c r="Z170" s="4"/>
    </row>
    <row r="171">
      <c r="A171" s="28"/>
      <c r="B171" s="28"/>
      <c r="C171" s="28"/>
      <c r="D171" s="28"/>
      <c r="E171" s="28"/>
      <c r="F171" s="101"/>
      <c r="G171" s="28"/>
      <c r="H171" s="28"/>
      <c r="I171" s="4"/>
      <c r="J171" s="4"/>
      <c r="K171" s="4"/>
      <c r="L171" s="216"/>
      <c r="M171" s="4"/>
      <c r="N171" s="4"/>
      <c r="O171" s="4"/>
      <c r="P171" s="4"/>
      <c r="Q171" s="4"/>
      <c r="R171" s="4"/>
      <c r="S171" s="4"/>
      <c r="T171" s="4"/>
      <c r="U171" s="7"/>
      <c r="V171" s="7"/>
      <c r="W171" s="4"/>
      <c r="X171" s="4"/>
      <c r="Y171" s="4"/>
      <c r="Z171" s="4"/>
    </row>
    <row r="172" ht="9.75" customHeight="1">
      <c r="A172" s="28"/>
      <c r="B172" s="28"/>
      <c r="C172" s="28"/>
      <c r="D172" s="28"/>
      <c r="E172" s="28"/>
      <c r="F172" s="101"/>
      <c r="G172" s="28"/>
      <c r="H172" s="28"/>
      <c r="I172" s="4"/>
      <c r="J172" s="4"/>
      <c r="K172" s="4"/>
      <c r="L172" s="216"/>
      <c r="M172" s="4"/>
      <c r="N172" s="4"/>
      <c r="O172" s="4"/>
      <c r="P172" s="4"/>
      <c r="Q172" s="4"/>
      <c r="R172" s="4"/>
      <c r="S172" s="4"/>
      <c r="T172" s="4"/>
      <c r="U172" s="7"/>
      <c r="V172" s="7"/>
      <c r="W172" s="4"/>
      <c r="X172" s="4"/>
      <c r="Y172" s="4"/>
      <c r="Z172" s="4"/>
    </row>
    <row r="173" hidden="1">
      <c r="A173" s="28"/>
      <c r="B173" s="28"/>
      <c r="C173" s="28"/>
      <c r="D173" s="28"/>
      <c r="E173" s="28"/>
      <c r="F173" s="101"/>
      <c r="G173" s="28"/>
      <c r="H173" s="28"/>
      <c r="I173" s="4"/>
      <c r="J173" s="4"/>
      <c r="K173" s="4"/>
      <c r="L173" s="216"/>
      <c r="M173" s="4"/>
      <c r="N173" s="4"/>
      <c r="O173" s="4"/>
      <c r="P173" s="4"/>
      <c r="Q173" s="4"/>
      <c r="R173" s="4"/>
      <c r="S173" s="4"/>
      <c r="T173" s="4"/>
      <c r="U173" s="7"/>
      <c r="V173" s="7"/>
      <c r="W173" s="4"/>
      <c r="X173" s="4"/>
      <c r="Y173" s="4"/>
      <c r="Z173" s="4"/>
    </row>
    <row r="174" hidden="1">
      <c r="A174" s="28"/>
      <c r="B174" s="28"/>
      <c r="C174" s="28"/>
      <c r="D174" s="28"/>
      <c r="E174" s="28"/>
      <c r="F174" s="101"/>
      <c r="G174" s="28"/>
      <c r="H174" s="28"/>
      <c r="I174" s="4"/>
      <c r="J174" s="4"/>
      <c r="K174" s="4"/>
      <c r="L174" s="216"/>
      <c r="M174" s="4"/>
      <c r="N174" s="4"/>
      <c r="O174" s="4"/>
      <c r="P174" s="4"/>
      <c r="Q174" s="4"/>
      <c r="R174" s="4"/>
      <c r="S174" s="4"/>
      <c r="T174" s="4"/>
      <c r="U174" s="7"/>
      <c r="V174" s="7"/>
      <c r="W174" s="4"/>
      <c r="X174" s="4"/>
      <c r="Y174" s="4"/>
      <c r="Z174" s="4"/>
    </row>
    <row r="175" hidden="1">
      <c r="A175" s="28"/>
      <c r="B175" s="28"/>
      <c r="C175" s="28"/>
      <c r="D175" s="28"/>
      <c r="E175" s="28"/>
      <c r="F175" s="101"/>
      <c r="G175" s="28"/>
      <c r="H175" s="28"/>
      <c r="I175" s="4"/>
      <c r="J175" s="4"/>
      <c r="K175" s="4"/>
      <c r="L175" s="216"/>
      <c r="M175" s="4"/>
      <c r="N175" s="4"/>
      <c r="O175" s="4"/>
      <c r="P175" s="4"/>
      <c r="Q175" s="4"/>
      <c r="R175" s="4"/>
      <c r="S175" s="4"/>
      <c r="T175" s="4"/>
      <c r="U175" s="7"/>
      <c r="V175" s="7"/>
      <c r="W175" s="4"/>
      <c r="X175" s="4"/>
      <c r="Y175" s="4"/>
      <c r="Z175" s="4"/>
    </row>
    <row r="176" hidden="1">
      <c r="A176" s="28"/>
      <c r="B176" s="28"/>
      <c r="C176" s="28"/>
      <c r="D176" s="28"/>
      <c r="E176" s="28"/>
      <c r="F176" s="101"/>
      <c r="G176" s="28"/>
      <c r="H176" s="28"/>
      <c r="I176" s="4"/>
      <c r="J176" s="4"/>
      <c r="K176" s="4"/>
      <c r="L176" s="216"/>
      <c r="M176" s="4"/>
      <c r="N176" s="4"/>
      <c r="O176" s="4"/>
      <c r="P176" s="4"/>
      <c r="Q176" s="4"/>
      <c r="R176" s="4"/>
      <c r="S176" s="4"/>
      <c r="T176" s="4"/>
      <c r="U176" s="7"/>
      <c r="V176" s="7"/>
      <c r="W176" s="4"/>
      <c r="X176" s="4"/>
      <c r="Y176" s="4"/>
      <c r="Z176" s="4"/>
    </row>
    <row r="177" hidden="1">
      <c r="A177" s="28"/>
      <c r="B177" s="28"/>
      <c r="C177" s="28"/>
      <c r="D177" s="28"/>
      <c r="E177" s="28"/>
      <c r="F177" s="101"/>
      <c r="G177" s="28"/>
      <c r="H177" s="28"/>
      <c r="I177" s="4"/>
      <c r="J177" s="4"/>
      <c r="K177" s="4"/>
      <c r="L177" s="216"/>
      <c r="M177" s="4"/>
      <c r="N177" s="4"/>
      <c r="O177" s="4"/>
      <c r="P177" s="4"/>
      <c r="Q177" s="4"/>
      <c r="R177" s="4"/>
      <c r="S177" s="4"/>
      <c r="T177" s="4"/>
      <c r="U177" s="7"/>
      <c r="V177" s="7"/>
      <c r="W177" s="4"/>
      <c r="X177" s="4"/>
      <c r="Y177" s="4"/>
      <c r="Z177" s="4"/>
    </row>
    <row r="178" hidden="1">
      <c r="A178" s="28"/>
      <c r="B178" s="28"/>
      <c r="C178" s="28"/>
      <c r="D178" s="28"/>
      <c r="E178" s="28"/>
      <c r="F178" s="101"/>
      <c r="G178" s="28"/>
      <c r="H178" s="28"/>
      <c r="I178" s="4"/>
      <c r="J178" s="4"/>
      <c r="K178" s="4"/>
      <c r="L178" s="216"/>
      <c r="M178" s="4"/>
      <c r="N178" s="4"/>
      <c r="O178" s="4"/>
      <c r="P178" s="4"/>
      <c r="Q178" s="4"/>
      <c r="R178" s="4"/>
      <c r="S178" s="4"/>
      <c r="T178" s="4"/>
      <c r="U178" s="7"/>
      <c r="V178" s="7"/>
      <c r="W178" s="4"/>
      <c r="X178" s="4"/>
      <c r="Y178" s="4"/>
      <c r="Z178" s="4"/>
    </row>
    <row r="179" hidden="1">
      <c r="A179" s="28"/>
      <c r="B179" s="28"/>
      <c r="C179" s="28"/>
      <c r="D179" s="28"/>
      <c r="E179" s="28"/>
      <c r="F179" s="101"/>
      <c r="G179" s="28"/>
      <c r="H179" s="28"/>
      <c r="I179" s="4"/>
      <c r="J179" s="4"/>
      <c r="K179" s="4"/>
      <c r="L179" s="216"/>
      <c r="M179" s="4"/>
      <c r="N179" s="4"/>
      <c r="O179" s="4"/>
      <c r="P179" s="4"/>
      <c r="Q179" s="4"/>
      <c r="R179" s="4"/>
      <c r="S179" s="4"/>
      <c r="T179" s="4"/>
      <c r="U179" s="7"/>
      <c r="V179" s="7"/>
      <c r="W179" s="4"/>
      <c r="X179" s="4"/>
      <c r="Y179" s="4"/>
      <c r="Z179" s="4"/>
    </row>
    <row r="180" hidden="1">
      <c r="A180" s="28"/>
      <c r="B180" s="28"/>
      <c r="C180" s="28"/>
      <c r="D180" s="28"/>
      <c r="E180" s="28"/>
      <c r="F180" s="101"/>
      <c r="G180" s="28"/>
      <c r="H180" s="28"/>
      <c r="I180" s="4"/>
      <c r="J180" s="4"/>
      <c r="K180" s="4"/>
      <c r="L180" s="216"/>
      <c r="M180" s="4"/>
      <c r="N180" s="4"/>
      <c r="O180" s="4"/>
      <c r="P180" s="4"/>
      <c r="Q180" s="4"/>
      <c r="R180" s="4"/>
      <c r="S180" s="4"/>
      <c r="T180" s="4"/>
      <c r="U180" s="7"/>
      <c r="V180" s="7"/>
      <c r="W180" s="4"/>
      <c r="X180" s="4"/>
      <c r="Y180" s="4"/>
      <c r="Z180" s="4"/>
    </row>
    <row r="181" hidden="1">
      <c r="A181" s="28"/>
      <c r="B181" s="28"/>
      <c r="C181" s="28"/>
      <c r="D181" s="28"/>
      <c r="E181" s="28"/>
      <c r="F181" s="101"/>
      <c r="G181" s="28"/>
      <c r="H181" s="28"/>
      <c r="I181" s="4"/>
      <c r="J181" s="4"/>
      <c r="K181" s="4"/>
      <c r="L181" s="216"/>
      <c r="M181" s="4"/>
      <c r="N181" s="4"/>
      <c r="O181" s="4"/>
      <c r="P181" s="4"/>
      <c r="Q181" s="4"/>
      <c r="R181" s="4"/>
      <c r="S181" s="4"/>
      <c r="T181" s="4"/>
      <c r="U181" s="7"/>
      <c r="V181" s="7"/>
      <c r="W181" s="4"/>
      <c r="X181" s="4"/>
      <c r="Y181" s="4"/>
      <c r="Z181" s="4"/>
    </row>
    <row r="182">
      <c r="A182" s="28"/>
      <c r="B182" s="2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7"/>
      <c r="V182" s="7"/>
      <c r="W182" s="4"/>
      <c r="X182" s="4"/>
      <c r="Y182" s="4"/>
      <c r="Z182" s="4"/>
    </row>
    <row r="183">
      <c r="A183" s="28"/>
      <c r="B183" s="28"/>
      <c r="C183" s="60" t="s">
        <v>251</v>
      </c>
      <c r="D183" s="28" t="s">
        <v>410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7"/>
      <c r="V183" s="7"/>
      <c r="W183" s="4"/>
      <c r="X183" s="4"/>
      <c r="Y183" s="4"/>
      <c r="Z183" s="4"/>
    </row>
    <row r="184">
      <c r="A184" s="28"/>
      <c r="B184" s="28"/>
      <c r="C184" s="4"/>
      <c r="D184" s="4" t="s">
        <v>412</v>
      </c>
      <c r="E184" s="4"/>
      <c r="F184" s="79">
        <v>10.0</v>
      </c>
      <c r="G184" s="4" t="s">
        <v>413</v>
      </c>
      <c r="H184" s="4" t="s">
        <v>414</v>
      </c>
      <c r="I184" s="4"/>
      <c r="J184" s="4"/>
      <c r="K184" s="115">
        <f>M5</f>
        <v>90</v>
      </c>
      <c r="L184" s="68" t="s">
        <v>24</v>
      </c>
      <c r="M184" s="4">
        <f>F184</f>
        <v>10</v>
      </c>
      <c r="N184" s="66" t="s">
        <v>24</v>
      </c>
      <c r="O184" s="4" t="s">
        <v>416</v>
      </c>
      <c r="P184" s="4">
        <f>MAX(G112,G137,E152)</f>
        <v>8</v>
      </c>
      <c r="Q184" s="66" t="s">
        <v>40</v>
      </c>
      <c r="R184" s="4">
        <f>K184-M184-0.5*P184</f>
        <v>76</v>
      </c>
      <c r="S184" s="4" t="s">
        <v>53</v>
      </c>
      <c r="T184" s="216" t="str">
        <f>IF(R184&lt;K95,"{thiếu an toàn, giảm lớp bảo vệ đi}","")</f>
        <v/>
      </c>
      <c r="U184" s="7"/>
      <c r="V184" s="7"/>
      <c r="W184" s="4"/>
      <c r="X184" s="4"/>
      <c r="Y184" s="4"/>
      <c r="Z184" s="4"/>
    </row>
    <row r="185">
      <c r="A185" s="28"/>
      <c r="B185" s="28"/>
      <c r="C185" s="4"/>
      <c r="D185" s="4" t="s">
        <v>419</v>
      </c>
      <c r="E185" s="4"/>
      <c r="F185" s="4"/>
      <c r="G185" s="4"/>
      <c r="H185" s="4"/>
      <c r="I185" s="105" t="s">
        <v>420</v>
      </c>
      <c r="J185" s="4">
        <f>K95</f>
        <v>75</v>
      </c>
      <c r="K185" s="4" t="s">
        <v>21</v>
      </c>
      <c r="L185" s="4" t="str">
        <f>IF(T184="","là thiên về an toàn","là không đảm bảo an toàn")</f>
        <v>là thiên về an toàn</v>
      </c>
      <c r="M185" s="4"/>
      <c r="N185" s="4"/>
      <c r="O185" s="4"/>
      <c r="P185" s="4"/>
      <c r="Q185" s="4"/>
      <c r="R185" s="4"/>
      <c r="S185" s="4"/>
      <c r="T185" s="4"/>
      <c r="U185" s="7"/>
      <c r="V185" s="7"/>
      <c r="W185" s="4"/>
      <c r="X185" s="4"/>
      <c r="Y185" s="4"/>
      <c r="Z185" s="4"/>
    </row>
    <row r="186">
      <c r="A186" s="28"/>
      <c r="B186" s="28"/>
      <c r="C186" s="60" t="s">
        <v>251</v>
      </c>
      <c r="D186" s="28" t="s">
        <v>422</v>
      </c>
      <c r="E186" s="4"/>
      <c r="F186" s="4"/>
      <c r="G186" s="4"/>
      <c r="H186" s="4"/>
      <c r="I186" s="4"/>
      <c r="J186" s="4"/>
      <c r="K186" s="4"/>
      <c r="L186" s="4"/>
      <c r="M186" s="105" t="s">
        <v>424</v>
      </c>
      <c r="N186" s="4"/>
      <c r="O186" s="4"/>
      <c r="P186" s="4"/>
      <c r="Q186" s="4"/>
      <c r="R186" s="4"/>
      <c r="S186" s="4"/>
      <c r="T186" s="4"/>
      <c r="U186" s="7"/>
      <c r="V186" s="7"/>
      <c r="W186" s="4"/>
      <c r="X186" s="4"/>
      <c r="Y186" s="4"/>
      <c r="Z186" s="4"/>
    </row>
    <row r="187">
      <c r="A187" s="28"/>
      <c r="B187" s="28"/>
      <c r="C187" s="4"/>
      <c r="D187" s="4" t="s">
        <v>425</v>
      </c>
      <c r="E187" s="105" t="s">
        <v>426</v>
      </c>
      <c r="F187" s="271">
        <f>K49</f>
        <v>7.15</v>
      </c>
      <c r="G187" s="68" t="s">
        <v>137</v>
      </c>
      <c r="H187" s="193">
        <f>F48</f>
        <v>4.129</v>
      </c>
      <c r="I187" s="68" t="s">
        <v>40</v>
      </c>
      <c r="J187" s="117">
        <f>F187/H187</f>
        <v>1.731654154</v>
      </c>
      <c r="K187" s="4" t="str">
        <f>IF(J187&lt;3,"&lt; 3",IF(J187=3,"= 3","&gt; 3"))</f>
        <v>&lt; 3</v>
      </c>
      <c r="L187" s="4" t="s">
        <v>429</v>
      </c>
      <c r="M187" s="273">
        <f>IF(K187="&lt; 3",1/4,1/3)</f>
        <v>0.25</v>
      </c>
      <c r="N187" s="4"/>
      <c r="O187" s="4"/>
      <c r="P187" s="4"/>
      <c r="Q187" s="4"/>
      <c r="R187" s="4"/>
      <c r="S187" s="4"/>
      <c r="T187" s="4"/>
      <c r="U187" s="7"/>
      <c r="V187" s="7"/>
      <c r="W187" s="4"/>
      <c r="X187" s="4"/>
      <c r="Y187" s="4"/>
      <c r="Z187" s="4"/>
    </row>
    <row r="188">
      <c r="A188" s="28"/>
      <c r="B188" s="28"/>
      <c r="C188" s="4"/>
      <c r="D188" s="4" t="s">
        <v>433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7"/>
      <c r="V188" s="7"/>
      <c r="W188" s="4"/>
      <c r="X188" s="4"/>
      <c r="Y188" s="4"/>
      <c r="Z188" s="4"/>
    </row>
    <row r="189">
      <c r="A189" s="28"/>
      <c r="B189" s="28"/>
      <c r="C189" s="4"/>
      <c r="D189" s="200" t="s">
        <v>117</v>
      </c>
      <c r="E189" s="4" t="s">
        <v>436</v>
      </c>
      <c r="F189" s="4"/>
      <c r="G189" s="4"/>
      <c r="H189" s="105" t="s">
        <v>437</v>
      </c>
      <c r="I189" s="66" t="s">
        <v>40</v>
      </c>
      <c r="J189" s="273">
        <f>M187</f>
        <v>0.25</v>
      </c>
      <c r="K189" s="4" t="s">
        <v>84</v>
      </c>
      <c r="L189" s="117">
        <f>L29</f>
        <v>2.38</v>
      </c>
      <c r="M189" s="4" t="s">
        <v>40</v>
      </c>
      <c r="N189" s="117">
        <f>J189*L189</f>
        <v>0.595</v>
      </c>
      <c r="O189" s="4" t="s">
        <v>133</v>
      </c>
      <c r="P189" s="4"/>
      <c r="Q189" s="4"/>
      <c r="R189" s="4"/>
      <c r="S189" s="4"/>
      <c r="T189" s="4"/>
      <c r="U189" s="7"/>
      <c r="V189" s="7"/>
      <c r="W189" s="4"/>
      <c r="X189" s="4"/>
      <c r="Y189" s="4"/>
      <c r="Z189" s="4"/>
    </row>
    <row r="190">
      <c r="A190" s="28"/>
      <c r="B190" s="28"/>
      <c r="C190" s="4"/>
      <c r="D190" s="200" t="s">
        <v>117</v>
      </c>
      <c r="E190" s="4" t="s">
        <v>438</v>
      </c>
      <c r="F190" s="4"/>
      <c r="G190" s="4"/>
      <c r="H190" s="4" t="s">
        <v>439</v>
      </c>
      <c r="I190" s="4"/>
      <c r="J190" s="117">
        <f>N189</f>
        <v>0.595</v>
      </c>
      <c r="K190" s="4" t="s">
        <v>440</v>
      </c>
      <c r="L190" s="4">
        <f>Q11/1000</f>
        <v>0.22</v>
      </c>
      <c r="M190" s="66" t="s">
        <v>40</v>
      </c>
      <c r="N190" s="117">
        <f>J190+L190/2</f>
        <v>0.705</v>
      </c>
      <c r="O190" s="4" t="s">
        <v>42</v>
      </c>
      <c r="P190" s="4"/>
      <c r="Q190" s="4"/>
      <c r="R190" s="4"/>
      <c r="S190" s="4"/>
      <c r="T190" s="4"/>
      <c r="U190" s="7"/>
      <c r="V190" s="7"/>
      <c r="W190" s="4"/>
      <c r="X190" s="4"/>
      <c r="Y190" s="4"/>
      <c r="Z190" s="4"/>
    </row>
    <row r="191">
      <c r="A191" s="28"/>
      <c r="B191" s="28"/>
      <c r="C191" s="4"/>
      <c r="D191" s="4" t="s">
        <v>441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7"/>
      <c r="V191" s="7"/>
      <c r="W191" s="4"/>
      <c r="X191" s="4"/>
      <c r="Y191" s="4"/>
      <c r="Z191" s="4"/>
    </row>
    <row r="192">
      <c r="A192" s="28"/>
      <c r="B192" s="28"/>
      <c r="C192" s="4"/>
      <c r="D192" s="200" t="s">
        <v>117</v>
      </c>
      <c r="E192" s="4" t="s">
        <v>436</v>
      </c>
      <c r="F192" s="4"/>
      <c r="G192" s="4"/>
      <c r="H192" s="65"/>
      <c r="I192" s="279">
        <f>L29</f>
        <v>2.38</v>
      </c>
      <c r="J192" s="200" t="s">
        <v>40</v>
      </c>
      <c r="K192" s="193">
        <f>I192/I193</f>
        <v>0.3966666667</v>
      </c>
      <c r="L192" s="4" t="s">
        <v>133</v>
      </c>
      <c r="M192" s="4"/>
      <c r="N192" s="4"/>
      <c r="O192" s="4"/>
      <c r="P192" s="4"/>
      <c r="Q192" s="4"/>
      <c r="R192" s="4"/>
      <c r="S192" s="4"/>
      <c r="T192" s="4"/>
      <c r="U192" s="7"/>
      <c r="V192" s="7"/>
      <c r="W192" s="4"/>
      <c r="X192" s="4"/>
      <c r="Y192" s="4"/>
      <c r="Z192" s="4"/>
    </row>
    <row r="193">
      <c r="A193" s="28"/>
      <c r="B193" s="28"/>
      <c r="C193" s="4"/>
      <c r="D193" s="4"/>
      <c r="E193" s="4"/>
      <c r="F193" s="4"/>
      <c r="G193" s="4"/>
      <c r="H193" s="4"/>
      <c r="I193" s="37">
        <v>6.0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7"/>
      <c r="V193" s="7"/>
      <c r="W193" s="4"/>
      <c r="X193" s="4"/>
      <c r="Y193" s="4"/>
      <c r="Z193" s="4"/>
    </row>
    <row r="194">
      <c r="A194" s="28"/>
      <c r="B194" s="28"/>
      <c r="C194" s="4"/>
      <c r="D194" s="200" t="s">
        <v>117</v>
      </c>
      <c r="E194" s="4" t="s">
        <v>438</v>
      </c>
      <c r="F194" s="4"/>
      <c r="G194" s="4"/>
      <c r="H194" s="65"/>
      <c r="I194" s="102">
        <f>K192</f>
        <v>0.3966666667</v>
      </c>
      <c r="J194" s="66" t="s">
        <v>443</v>
      </c>
      <c r="K194" s="4">
        <f>Q11/1000</f>
        <v>0.22</v>
      </c>
      <c r="L194" s="66" t="s">
        <v>40</v>
      </c>
      <c r="M194" s="193">
        <f>I194+K194/2</f>
        <v>0.5066666667</v>
      </c>
      <c r="N194" s="4" t="s">
        <v>31</v>
      </c>
      <c r="O194" s="4"/>
      <c r="P194" s="4"/>
      <c r="Q194" s="4"/>
      <c r="R194" s="4"/>
      <c r="S194" s="4"/>
      <c r="T194" s="4"/>
      <c r="U194" s="7"/>
      <c r="V194" s="7"/>
      <c r="W194" s="4"/>
      <c r="X194" s="4"/>
      <c r="Y194" s="4"/>
      <c r="Z194" s="4"/>
    </row>
    <row r="195">
      <c r="A195" s="28"/>
      <c r="B195" s="2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7"/>
      <c r="V195" s="7"/>
      <c r="W195" s="4"/>
      <c r="X195" s="4"/>
      <c r="Y195" s="4"/>
      <c r="Z195" s="4"/>
    </row>
    <row r="196">
      <c r="A196" s="28"/>
      <c r="B196" s="28"/>
      <c r="C196" s="4"/>
      <c r="D196" s="4" t="s">
        <v>445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7"/>
      <c r="V196" s="7"/>
      <c r="W196" s="4"/>
      <c r="X196" s="4"/>
      <c r="Y196" s="4"/>
      <c r="Z196" s="4"/>
    </row>
    <row r="197">
      <c r="A197" s="28"/>
      <c r="B197" s="2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7"/>
      <c r="V197" s="7"/>
      <c r="W197" s="4"/>
      <c r="X197" s="4"/>
      <c r="Y197" s="4"/>
      <c r="Z197" s="4"/>
    </row>
    <row r="198">
      <c r="A198" s="28"/>
      <c r="B198" s="28"/>
      <c r="C198" s="4"/>
      <c r="D198" s="200" t="s">
        <v>117</v>
      </c>
      <c r="E198" s="4" t="s">
        <v>447</v>
      </c>
      <c r="F198" s="4"/>
      <c r="G198" s="4"/>
      <c r="H198" s="65"/>
      <c r="I198" s="4">
        <f>M26</f>
        <v>2.365</v>
      </c>
      <c r="J198" s="66" t="s">
        <v>40</v>
      </c>
      <c r="K198" s="117">
        <f>I198/12</f>
        <v>0.1970833333</v>
      </c>
      <c r="L198" s="4" t="s">
        <v>133</v>
      </c>
      <c r="M198" s="4"/>
      <c r="N198" s="4"/>
      <c r="O198" s="4"/>
      <c r="P198" s="4"/>
      <c r="Q198" s="4"/>
      <c r="R198" s="4"/>
      <c r="S198" s="4"/>
      <c r="T198" s="4"/>
      <c r="U198" s="7"/>
      <c r="V198" s="7"/>
      <c r="W198" s="4"/>
      <c r="X198" s="4"/>
      <c r="Y198" s="4"/>
      <c r="Z198" s="4"/>
    </row>
    <row r="199">
      <c r="A199" s="28"/>
      <c r="B199" s="2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7"/>
      <c r="V199" s="7"/>
      <c r="W199" s="4"/>
      <c r="X199" s="4"/>
      <c r="Y199" s="4"/>
      <c r="Z199" s="4"/>
    </row>
    <row r="200">
      <c r="A200" s="28"/>
      <c r="B200" s="28"/>
      <c r="C200" s="4"/>
      <c r="D200" s="200" t="s">
        <v>117</v>
      </c>
      <c r="E200" s="4" t="s">
        <v>451</v>
      </c>
      <c r="F200" s="4"/>
      <c r="G200" s="4"/>
      <c r="H200" s="65"/>
      <c r="I200" s="117">
        <f>L29</f>
        <v>2.38</v>
      </c>
      <c r="J200" s="66" t="s">
        <v>40</v>
      </c>
      <c r="K200" s="117">
        <f>I200/8</f>
        <v>0.2975</v>
      </c>
      <c r="L200" s="4" t="s">
        <v>42</v>
      </c>
      <c r="M200" s="4"/>
      <c r="N200" s="4"/>
      <c r="O200" s="4"/>
      <c r="P200" s="4"/>
      <c r="Q200" s="4"/>
      <c r="R200" s="4"/>
      <c r="S200" s="4"/>
      <c r="T200" s="4"/>
      <c r="U200" s="7"/>
      <c r="V200" s="7"/>
      <c r="W200" s="4"/>
      <c r="X200" s="4"/>
      <c r="Y200" s="4"/>
      <c r="Z200" s="4"/>
    </row>
    <row r="201">
      <c r="A201" s="28"/>
      <c r="B201" s="28"/>
      <c r="C201" s="4"/>
      <c r="D201" s="4"/>
      <c r="E201" s="4"/>
      <c r="F201" s="4"/>
      <c r="G201" s="6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7"/>
      <c r="V201" s="7"/>
      <c r="W201" s="4"/>
      <c r="X201" s="4"/>
      <c r="Y201" s="4"/>
      <c r="Z201" s="4"/>
    </row>
    <row r="202">
      <c r="A202" s="28"/>
      <c r="B202" s="28"/>
      <c r="C202" s="60" t="s">
        <v>251</v>
      </c>
      <c r="D202" s="28" t="s">
        <v>457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7"/>
      <c r="V202" s="7"/>
      <c r="W202" s="4"/>
      <c r="X202" s="4"/>
      <c r="Y202" s="4"/>
      <c r="Z202" s="4"/>
    </row>
    <row r="203">
      <c r="A203" s="28"/>
      <c r="B203" s="28"/>
      <c r="C203" s="4"/>
      <c r="D203" s="4" t="s">
        <v>458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7"/>
      <c r="V203" s="7"/>
      <c r="W203" s="4"/>
      <c r="X203" s="4"/>
      <c r="Y203" s="4"/>
      <c r="Z203" s="4"/>
    </row>
    <row r="204">
      <c r="A204" s="28"/>
      <c r="B204" s="28"/>
      <c r="C204" s="4"/>
      <c r="D204" s="4" t="s">
        <v>460</v>
      </c>
      <c r="E204" s="4"/>
      <c r="F204" s="4"/>
      <c r="G204" s="4">
        <v>0.8</v>
      </c>
      <c r="H204" s="4">
        <f>'Nhập Rs thep CV240,300,400 '!H52</f>
        <v>0.9</v>
      </c>
      <c r="I204" s="4">
        <f>G22</f>
        <v>1000</v>
      </c>
      <c r="J204" s="4">
        <f>K95</f>
        <v>75</v>
      </c>
      <c r="K204" s="66" t="s">
        <v>40</v>
      </c>
      <c r="L204" s="4">
        <f>G204*H204*I204*J204</f>
        <v>54000</v>
      </c>
      <c r="M204" s="4" t="s">
        <v>461</v>
      </c>
      <c r="N204" s="4">
        <f>L204/1000</f>
        <v>54</v>
      </c>
      <c r="O204" s="4" t="s">
        <v>264</v>
      </c>
      <c r="P204" s="4"/>
      <c r="Q204" s="4"/>
      <c r="R204" s="4"/>
      <c r="S204" s="4"/>
      <c r="T204" s="4"/>
      <c r="U204" s="7"/>
      <c r="V204" s="7"/>
      <c r="W204" s="4"/>
      <c r="X204" s="4"/>
      <c r="Y204" s="4"/>
      <c r="Z204" s="4"/>
    </row>
    <row r="205">
      <c r="A205" s="28"/>
      <c r="B205" s="28"/>
      <c r="C205" s="4"/>
      <c r="D205" s="65"/>
      <c r="E205" s="117">
        <f>M90</f>
        <v>16.004901</v>
      </c>
      <c r="F205" s="4" t="s">
        <v>462</v>
      </c>
      <c r="G205" s="4" t="str">
        <f>IF(E205&lt;N204,"&lt;",IF(E205=N204,"=","&gt;"))</f>
        <v>&lt;</v>
      </c>
      <c r="H205" s="3" t="s">
        <v>464</v>
      </c>
      <c r="I205" s="4">
        <f>N204</f>
        <v>54</v>
      </c>
      <c r="J205" s="4" t="s">
        <v>264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7"/>
      <c r="V205" s="7"/>
      <c r="W205" s="4"/>
      <c r="X205" s="4"/>
      <c r="Y205" s="4"/>
      <c r="Z205" s="4"/>
    </row>
    <row r="206">
      <c r="A206" s="28"/>
      <c r="B206" s="28"/>
      <c r="C206" s="4"/>
      <c r="D206" s="4" t="str">
        <f>IF(OR(G205="&lt;",G205="="),"bản đủ khả năng chịu cắt","bản không đủ khả năng chịu cắt")</f>
        <v>bản đủ khả năng chịu cắt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7"/>
      <c r="V206" s="7"/>
      <c r="W206" s="4"/>
      <c r="X206" s="4"/>
      <c r="Y206" s="4"/>
      <c r="Z206" s="4"/>
    </row>
    <row r="207">
      <c r="A207" s="28"/>
      <c r="B207" s="28" t="s">
        <v>465</v>
      </c>
      <c r="C207" s="28" t="s">
        <v>466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7"/>
      <c r="V207" s="7"/>
      <c r="W207" s="4"/>
      <c r="X207" s="4"/>
      <c r="Y207" s="4"/>
      <c r="Z207" s="4"/>
    </row>
    <row r="208">
      <c r="A208" s="28"/>
      <c r="B208" s="28"/>
      <c r="C208" s="4" t="s">
        <v>251</v>
      </c>
      <c r="D208" s="4" t="s">
        <v>467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7"/>
      <c r="V208" s="7"/>
      <c r="W208" s="4"/>
      <c r="X208" s="4"/>
      <c r="Y208" s="4"/>
      <c r="Z208" s="4"/>
    </row>
    <row r="209">
      <c r="A209" s="28"/>
      <c r="B209" s="28"/>
      <c r="C209" s="4"/>
      <c r="D209" s="4" t="s">
        <v>469</v>
      </c>
      <c r="E209" s="4"/>
      <c r="F209" s="4"/>
      <c r="G209" s="4"/>
      <c r="H209" s="4"/>
      <c r="I209" s="4"/>
      <c r="J209" s="4"/>
      <c r="K209" s="105" t="s">
        <v>470</v>
      </c>
      <c r="L209" s="4" t="s">
        <v>471</v>
      </c>
      <c r="M209" s="4"/>
      <c r="N209" s="4"/>
      <c r="O209" s="4"/>
      <c r="P209" s="4"/>
      <c r="Q209" s="4"/>
      <c r="R209" s="4"/>
      <c r="S209" s="4"/>
      <c r="T209" s="4"/>
      <c r="U209" s="7"/>
      <c r="V209" s="7"/>
      <c r="W209" s="4"/>
      <c r="X209" s="4"/>
      <c r="Y209" s="4"/>
      <c r="Z209" s="4"/>
    </row>
    <row r="210">
      <c r="A210" s="28"/>
      <c r="B210" s="28"/>
      <c r="C210" s="4"/>
      <c r="D210" s="4" t="s">
        <v>473</v>
      </c>
      <c r="E210" s="4"/>
      <c r="F210" s="4"/>
      <c r="G210" s="37" t="s">
        <v>474</v>
      </c>
      <c r="H210" s="98">
        <f>K130</f>
        <v>261.8755815</v>
      </c>
      <c r="I210" s="66" t="s">
        <v>40</v>
      </c>
      <c r="J210" s="98">
        <f>H210/2</f>
        <v>130.9377907</v>
      </c>
      <c r="K210" s="105" t="s">
        <v>475</v>
      </c>
      <c r="L210" s="4" t="s">
        <v>476</v>
      </c>
      <c r="M210" s="4"/>
      <c r="N210" s="4"/>
      <c r="O210" s="4"/>
      <c r="P210" s="4"/>
      <c r="Q210" s="4"/>
      <c r="R210" s="4"/>
      <c r="S210" s="4"/>
      <c r="T210" s="4"/>
      <c r="U210" s="7"/>
      <c r="V210" s="7"/>
      <c r="W210" s="4"/>
      <c r="X210" s="4"/>
      <c r="Y210" s="4"/>
      <c r="Z210" s="4"/>
    </row>
    <row r="211">
      <c r="A211" s="28"/>
      <c r="B211" s="28"/>
      <c r="C211" s="4"/>
      <c r="D211" s="4" t="s">
        <v>477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7"/>
      <c r="V211" s="7"/>
      <c r="W211" s="4"/>
      <c r="X211" s="4"/>
      <c r="Y211" s="4"/>
      <c r="Z211" s="4"/>
    </row>
    <row r="212">
      <c r="A212" s="28"/>
      <c r="B212" s="28"/>
      <c r="C212" s="4"/>
      <c r="D212" s="200" t="s">
        <v>117</v>
      </c>
      <c r="E212" s="4" t="s">
        <v>479</v>
      </c>
      <c r="F212" s="4"/>
      <c r="G212" s="4"/>
      <c r="H212" s="65"/>
      <c r="I212" s="117">
        <f>L29</f>
        <v>2.38</v>
      </c>
      <c r="J212" s="66" t="s">
        <v>40</v>
      </c>
      <c r="K212" s="4">
        <f>I212/4</f>
        <v>0.595</v>
      </c>
      <c r="L212" s="4" t="s">
        <v>133</v>
      </c>
      <c r="M212" s="4"/>
      <c r="N212" s="4"/>
      <c r="O212" s="4"/>
      <c r="P212" s="4"/>
      <c r="Q212" s="4"/>
      <c r="R212" s="4"/>
      <c r="S212" s="4"/>
      <c r="T212" s="4"/>
      <c r="U212" s="7"/>
      <c r="V212" s="7"/>
      <c r="W212" s="4"/>
      <c r="X212" s="4"/>
      <c r="Y212" s="4"/>
      <c r="Z212" s="4"/>
    </row>
    <row r="213">
      <c r="A213" s="28"/>
      <c r="B213" s="2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7"/>
      <c r="V213" s="7"/>
      <c r="W213" s="4"/>
      <c r="X213" s="4"/>
      <c r="Y213" s="4"/>
      <c r="Z213" s="4"/>
    </row>
    <row r="214">
      <c r="A214" s="28"/>
      <c r="B214" s="28"/>
      <c r="C214" s="4"/>
      <c r="D214" s="200" t="s">
        <v>117</v>
      </c>
      <c r="E214" s="4" t="s">
        <v>482</v>
      </c>
      <c r="F214" s="4"/>
      <c r="G214" s="4"/>
      <c r="H214" s="65"/>
      <c r="I214" s="4"/>
      <c r="J214" s="4">
        <f>K212</f>
        <v>0.595</v>
      </c>
      <c r="K214" s="66" t="s">
        <v>483</v>
      </c>
      <c r="L214" s="4">
        <f>Q16/1000</f>
        <v>0.3</v>
      </c>
      <c r="M214" s="66" t="s">
        <v>40</v>
      </c>
      <c r="N214" s="4">
        <f>J214+L214/2</f>
        <v>0.745</v>
      </c>
      <c r="O214" s="4" t="s">
        <v>42</v>
      </c>
      <c r="P214" s="4"/>
      <c r="Q214" s="4"/>
      <c r="R214" s="4"/>
      <c r="S214" s="4"/>
      <c r="T214" s="4"/>
      <c r="U214" s="7"/>
      <c r="V214" s="7"/>
      <c r="W214" s="4"/>
      <c r="X214" s="4"/>
      <c r="Y214" s="4"/>
      <c r="Z214" s="4"/>
    </row>
    <row r="215">
      <c r="A215" s="28"/>
      <c r="B215" s="2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7"/>
      <c r="V215" s="7"/>
      <c r="W215" s="4"/>
      <c r="X215" s="4"/>
      <c r="Y215" s="4"/>
      <c r="Z215" s="4"/>
    </row>
    <row r="216">
      <c r="A216" s="28"/>
      <c r="B216" s="28"/>
      <c r="C216" s="66" t="s">
        <v>251</v>
      </c>
      <c r="D216" s="4" t="s">
        <v>486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7"/>
      <c r="V216" s="7"/>
      <c r="W216" s="4"/>
      <c r="X216" s="4"/>
      <c r="Y216" s="4"/>
      <c r="Z216" s="4"/>
    </row>
    <row r="217">
      <c r="A217" s="28"/>
      <c r="B217" s="28"/>
      <c r="C217" s="4"/>
      <c r="D217" s="4" t="s">
        <v>489</v>
      </c>
      <c r="E217" s="4"/>
      <c r="F217" s="4"/>
      <c r="G217" s="4"/>
      <c r="H217" s="4"/>
      <c r="I217" s="4"/>
      <c r="J217" s="4"/>
      <c r="K217" s="105" t="s">
        <v>491</v>
      </c>
      <c r="L217" s="4" t="s">
        <v>492</v>
      </c>
      <c r="M217" s="4" t="s">
        <v>493</v>
      </c>
      <c r="N217" s="4"/>
      <c r="O217" s="4"/>
      <c r="P217" s="4"/>
      <c r="Q217" s="4"/>
      <c r="R217" s="4"/>
      <c r="S217" s="4"/>
      <c r="T217" s="4"/>
      <c r="U217" s="7"/>
      <c r="V217" s="7"/>
      <c r="W217" s="4"/>
      <c r="X217" s="4"/>
      <c r="Y217" s="4"/>
      <c r="Z217" s="4"/>
    </row>
    <row r="218">
      <c r="A218" s="28"/>
      <c r="B218" s="28"/>
      <c r="C218" s="4"/>
      <c r="D218" s="4" t="s">
        <v>499</v>
      </c>
      <c r="E218" s="4"/>
      <c r="F218" s="4"/>
      <c r="G218" s="4" t="s">
        <v>500</v>
      </c>
      <c r="H218" s="4"/>
      <c r="I218" s="98">
        <f>K105</f>
        <v>381.8868023</v>
      </c>
      <c r="J218" s="66" t="s">
        <v>40</v>
      </c>
      <c r="K218" s="4">
        <f>I218/5</f>
        <v>76.37736046</v>
      </c>
      <c r="L218" s="105" t="s">
        <v>503</v>
      </c>
      <c r="M218" s="4" t="s">
        <v>504</v>
      </c>
      <c r="N218" s="4"/>
      <c r="O218" s="98">
        <f>K130</f>
        <v>261.8755815</v>
      </c>
      <c r="P218" s="66" t="s">
        <v>40</v>
      </c>
      <c r="Q218" s="250">
        <f>O218/5</f>
        <v>52.3751163</v>
      </c>
      <c r="R218" s="105" t="s">
        <v>506</v>
      </c>
      <c r="S218" s="4"/>
      <c r="T218" s="4"/>
      <c r="U218" s="7"/>
      <c r="V218" s="7"/>
      <c r="W218" s="4"/>
      <c r="X218" s="4"/>
      <c r="Y218" s="4"/>
      <c r="Z218" s="4"/>
    </row>
    <row r="219">
      <c r="A219" s="28"/>
      <c r="B219" s="28"/>
      <c r="C219" s="4"/>
      <c r="D219" s="4"/>
      <c r="E219" s="4"/>
      <c r="F219" s="4"/>
      <c r="G219" s="4"/>
      <c r="H219" s="4"/>
      <c r="I219" s="98"/>
      <c r="J219" s="4"/>
      <c r="K219" s="4"/>
      <c r="L219" s="105"/>
      <c r="M219" s="4"/>
      <c r="N219" s="4"/>
      <c r="O219" s="98"/>
      <c r="P219" s="4"/>
      <c r="Q219" s="4"/>
      <c r="R219" s="105"/>
      <c r="S219" s="4"/>
      <c r="T219" s="4"/>
      <c r="U219" s="7"/>
      <c r="V219" s="7"/>
      <c r="W219" s="4"/>
      <c r="X219" s="4"/>
      <c r="Y219" s="4"/>
      <c r="Z219" s="4"/>
    </row>
    <row r="220">
      <c r="A220" s="28"/>
      <c r="B220" s="28"/>
      <c r="C220" s="4"/>
      <c r="D220" s="4"/>
      <c r="E220" s="4"/>
      <c r="F220" s="4"/>
      <c r="G220" s="4"/>
      <c r="H220" s="4"/>
      <c r="I220" s="98"/>
      <c r="J220" s="4"/>
      <c r="K220" s="4"/>
      <c r="L220" s="105"/>
      <c r="M220" s="4"/>
      <c r="N220" s="4"/>
      <c r="O220" s="98"/>
      <c r="P220" s="4"/>
      <c r="Q220" s="4"/>
      <c r="R220" s="105"/>
      <c r="S220" s="4"/>
      <c r="T220" s="4"/>
      <c r="U220" s="7"/>
      <c r="V220" s="7"/>
      <c r="W220" s="4"/>
      <c r="X220" s="4"/>
      <c r="Y220" s="4"/>
      <c r="Z220" s="4"/>
    </row>
    <row r="221">
      <c r="A221" s="28"/>
      <c r="B221" s="28"/>
      <c r="C221" s="4"/>
      <c r="D221" s="4"/>
      <c r="E221" s="4"/>
      <c r="F221" s="4"/>
      <c r="G221" s="4"/>
      <c r="H221" s="4"/>
      <c r="I221" s="98"/>
      <c r="J221" s="4"/>
      <c r="K221" s="4"/>
      <c r="L221" s="105"/>
      <c r="M221" s="4"/>
      <c r="N221" s="4"/>
      <c r="O221" s="98"/>
      <c r="P221" s="4"/>
      <c r="Q221" s="4"/>
      <c r="R221" s="105"/>
      <c r="S221" s="4"/>
      <c r="T221" s="4"/>
      <c r="U221" s="7"/>
      <c r="V221" s="7"/>
      <c r="W221" s="4"/>
      <c r="X221" s="4"/>
      <c r="Y221" s="4"/>
      <c r="Z221" s="4"/>
    </row>
    <row r="222">
      <c r="A222" s="28"/>
      <c r="B222" s="28"/>
      <c r="C222" s="4"/>
      <c r="D222" s="4"/>
      <c r="E222" s="4"/>
      <c r="F222" s="4"/>
      <c r="G222" s="4"/>
      <c r="H222" s="4"/>
      <c r="I222" s="98"/>
      <c r="J222" s="4"/>
      <c r="K222" s="4"/>
      <c r="L222" s="105"/>
      <c r="M222" s="4"/>
      <c r="N222" s="4"/>
      <c r="O222" s="98"/>
      <c r="P222" s="4"/>
      <c r="Q222" s="4"/>
      <c r="R222" s="105"/>
      <c r="S222" s="4"/>
      <c r="T222" s="4"/>
      <c r="U222" s="7"/>
      <c r="V222" s="7"/>
      <c r="W222" s="4"/>
      <c r="X222" s="4"/>
      <c r="Y222" s="4"/>
      <c r="Z222" s="4"/>
    </row>
    <row r="223">
      <c r="A223" s="28"/>
      <c r="B223" s="28"/>
      <c r="C223" s="4"/>
      <c r="D223" s="4"/>
      <c r="E223" s="4"/>
      <c r="F223" s="4"/>
      <c r="G223" s="4"/>
      <c r="H223" s="4"/>
      <c r="I223" s="98"/>
      <c r="J223" s="4"/>
      <c r="K223" s="4"/>
      <c r="L223" s="105"/>
      <c r="M223" s="4"/>
      <c r="N223" s="4"/>
      <c r="O223" s="98"/>
      <c r="P223" s="4"/>
      <c r="Q223" s="4"/>
      <c r="R223" s="105"/>
      <c r="S223" s="4"/>
      <c r="T223" s="4"/>
      <c r="U223" s="7"/>
      <c r="V223" s="7"/>
      <c r="W223" s="4"/>
      <c r="X223" s="4"/>
      <c r="Y223" s="4"/>
      <c r="Z223" s="4"/>
    </row>
    <row r="224">
      <c r="A224" s="28"/>
      <c r="B224" s="28"/>
      <c r="C224" s="4"/>
      <c r="D224" s="4"/>
      <c r="E224" s="4"/>
      <c r="F224" s="4"/>
      <c r="G224" s="4"/>
      <c r="H224" s="4"/>
      <c r="I224" s="98"/>
      <c r="J224" s="4"/>
      <c r="K224" s="4"/>
      <c r="L224" s="105"/>
      <c r="M224" s="4"/>
      <c r="N224" s="4"/>
      <c r="O224" s="98"/>
      <c r="P224" s="4"/>
      <c r="Q224" s="4"/>
      <c r="R224" s="105"/>
      <c r="S224" s="4"/>
      <c r="T224" s="4"/>
      <c r="U224" s="7"/>
      <c r="V224" s="7"/>
      <c r="W224" s="4"/>
      <c r="X224" s="4"/>
      <c r="Y224" s="4"/>
      <c r="Z224" s="4"/>
    </row>
    <row r="225">
      <c r="A225" s="28"/>
      <c r="B225" s="28"/>
      <c r="C225" s="4"/>
      <c r="D225" s="4"/>
      <c r="E225" s="4"/>
      <c r="F225" s="4"/>
      <c r="G225" s="4"/>
      <c r="H225" s="4"/>
      <c r="I225" s="98"/>
      <c r="J225" s="4"/>
      <c r="K225" s="4"/>
      <c r="L225" s="105"/>
      <c r="M225" s="4"/>
      <c r="N225" s="4"/>
      <c r="O225" s="98"/>
      <c r="P225" s="4"/>
      <c r="Q225" s="4"/>
      <c r="R225" s="105"/>
      <c r="S225" s="4"/>
      <c r="T225" s="4"/>
      <c r="U225" s="7"/>
      <c r="V225" s="7"/>
      <c r="W225" s="4"/>
      <c r="X225" s="4"/>
      <c r="Y225" s="4"/>
      <c r="Z225" s="4"/>
    </row>
    <row r="226">
      <c r="A226" s="28"/>
      <c r="B226" s="28"/>
      <c r="C226" s="4"/>
      <c r="D226" s="4"/>
      <c r="E226" s="4"/>
      <c r="F226" s="4"/>
      <c r="G226" s="4"/>
      <c r="H226" s="4"/>
      <c r="I226" s="98"/>
      <c r="J226" s="4"/>
      <c r="K226" s="4"/>
      <c r="L226" s="105"/>
      <c r="M226" s="4"/>
      <c r="N226" s="4"/>
      <c r="O226" s="98"/>
      <c r="P226" s="4"/>
      <c r="Q226" s="4"/>
      <c r="R226" s="105"/>
      <c r="S226" s="4"/>
      <c r="T226" s="4"/>
      <c r="U226" s="7"/>
      <c r="V226" s="7"/>
      <c r="W226" s="4"/>
      <c r="X226" s="4"/>
      <c r="Y226" s="4"/>
      <c r="Z226" s="4"/>
    </row>
    <row r="227">
      <c r="A227" s="28"/>
      <c r="B227" s="28"/>
      <c r="C227" s="4"/>
      <c r="D227" s="4"/>
      <c r="E227" s="4"/>
      <c r="F227" s="4"/>
      <c r="G227" s="4"/>
      <c r="H227" s="4"/>
      <c r="I227" s="98"/>
      <c r="J227" s="4"/>
      <c r="K227" s="4"/>
      <c r="L227" s="105"/>
      <c r="M227" s="4"/>
      <c r="N227" s="4"/>
      <c r="O227" s="98"/>
      <c r="P227" s="4"/>
      <c r="Q227" s="4"/>
      <c r="R227" s="105"/>
      <c r="S227" s="4"/>
      <c r="T227" s="4"/>
      <c r="U227" s="7"/>
      <c r="V227" s="7"/>
      <c r="W227" s="4"/>
      <c r="X227" s="4"/>
      <c r="Y227" s="4"/>
      <c r="Z227" s="4"/>
    </row>
    <row r="228">
      <c r="A228" s="28"/>
      <c r="B228" s="28"/>
      <c r="C228" s="4"/>
      <c r="D228" s="4"/>
      <c r="E228" s="4"/>
      <c r="F228" s="4"/>
      <c r="G228" s="4"/>
      <c r="H228" s="4"/>
      <c r="I228" s="98"/>
      <c r="J228" s="4"/>
      <c r="K228" s="4"/>
      <c r="L228" s="105"/>
      <c r="M228" s="4"/>
      <c r="N228" s="4"/>
      <c r="O228" s="98"/>
      <c r="P228" s="4"/>
      <c r="Q228" s="4"/>
      <c r="R228" s="105"/>
      <c r="S228" s="4"/>
      <c r="T228" s="4"/>
      <c r="U228" s="7"/>
      <c r="V228" s="7"/>
      <c r="W228" s="4"/>
      <c r="X228" s="4"/>
      <c r="Y228" s="4"/>
      <c r="Z228" s="4"/>
    </row>
    <row r="229">
      <c r="A229" s="28"/>
      <c r="B229" s="28"/>
      <c r="C229" s="4"/>
      <c r="D229" s="4"/>
      <c r="E229" s="4"/>
      <c r="F229" s="4"/>
      <c r="G229" s="4"/>
      <c r="H229" s="4"/>
      <c r="I229" s="98"/>
      <c r="J229" s="4"/>
      <c r="K229" s="4"/>
      <c r="L229" s="105"/>
      <c r="M229" s="4"/>
      <c r="N229" s="4"/>
      <c r="O229" s="98"/>
      <c r="P229" s="4"/>
      <c r="Q229" s="4"/>
      <c r="R229" s="105"/>
      <c r="S229" s="4"/>
      <c r="T229" s="4"/>
      <c r="U229" s="7"/>
      <c r="V229" s="7"/>
      <c r="W229" s="4"/>
      <c r="X229" s="4"/>
      <c r="Y229" s="4"/>
      <c r="Z229" s="4"/>
    </row>
    <row r="230">
      <c r="A230" s="28"/>
      <c r="B230" s="28"/>
      <c r="C230" s="4"/>
      <c r="D230" s="4"/>
      <c r="E230" s="4"/>
      <c r="F230" s="4"/>
      <c r="G230" s="4"/>
      <c r="H230" s="4"/>
      <c r="I230" s="98"/>
      <c r="J230" s="4"/>
      <c r="K230" s="4"/>
      <c r="L230" s="105"/>
      <c r="M230" s="4"/>
      <c r="N230" s="4"/>
      <c r="O230" s="98"/>
      <c r="P230" s="4"/>
      <c r="Q230" s="4"/>
      <c r="R230" s="105"/>
      <c r="S230" s="4"/>
      <c r="T230" s="4"/>
      <c r="U230" s="7"/>
      <c r="V230" s="7"/>
      <c r="W230" s="4"/>
      <c r="X230" s="4"/>
      <c r="Y230" s="4"/>
      <c r="Z230" s="4"/>
    </row>
    <row r="231">
      <c r="A231" s="28"/>
      <c r="B231" s="28"/>
      <c r="C231" s="4"/>
      <c r="D231" s="4"/>
      <c r="E231" s="4"/>
      <c r="F231" s="4"/>
      <c r="G231" s="4"/>
      <c r="H231" s="4"/>
      <c r="I231" s="98"/>
      <c r="J231" s="4"/>
      <c r="K231" s="4"/>
      <c r="L231" s="105"/>
      <c r="M231" s="4"/>
      <c r="N231" s="4"/>
      <c r="O231" s="98"/>
      <c r="P231" s="4"/>
      <c r="Q231" s="4"/>
      <c r="R231" s="105"/>
      <c r="S231" s="4"/>
      <c r="T231" s="4"/>
      <c r="U231" s="7"/>
      <c r="V231" s="7"/>
      <c r="W231" s="4"/>
      <c r="X231" s="4"/>
      <c r="Y231" s="4"/>
      <c r="Z231" s="4"/>
    </row>
    <row r="232">
      <c r="A232" s="28"/>
      <c r="B232" s="28"/>
      <c r="C232" s="4"/>
      <c r="D232" s="4"/>
      <c r="E232" s="4"/>
      <c r="F232" s="4"/>
      <c r="G232" s="4"/>
      <c r="H232" s="4"/>
      <c r="I232" s="98"/>
      <c r="J232" s="4"/>
      <c r="K232" s="4"/>
      <c r="L232" s="105"/>
      <c r="M232" s="4"/>
      <c r="N232" s="4"/>
      <c r="O232" s="98"/>
      <c r="P232" s="4"/>
      <c r="Q232" s="4"/>
      <c r="R232" s="105"/>
      <c r="S232" s="4"/>
      <c r="T232" s="4"/>
      <c r="U232" s="7"/>
      <c r="V232" s="7"/>
      <c r="W232" s="4"/>
      <c r="X232" s="4"/>
      <c r="Y232" s="4"/>
      <c r="Z232" s="4"/>
    </row>
    <row r="233">
      <c r="A233" s="28"/>
      <c r="B233" s="28"/>
      <c r="C233" s="4"/>
      <c r="D233" s="4"/>
      <c r="E233" s="4"/>
      <c r="F233" s="4"/>
      <c r="G233" s="4"/>
      <c r="H233" s="4"/>
      <c r="I233" s="98"/>
      <c r="J233" s="4"/>
      <c r="K233" s="4"/>
      <c r="L233" s="105"/>
      <c r="M233" s="4"/>
      <c r="N233" s="4"/>
      <c r="O233" s="98"/>
      <c r="P233" s="4"/>
      <c r="Q233" s="4"/>
      <c r="R233" s="105"/>
      <c r="S233" s="4"/>
      <c r="T233" s="4"/>
      <c r="U233" s="7"/>
      <c r="V233" s="7"/>
      <c r="W233" s="4"/>
      <c r="X233" s="4"/>
      <c r="Y233" s="4"/>
      <c r="Z233" s="4"/>
    </row>
    <row r="234">
      <c r="A234" s="28"/>
      <c r="B234" s="28"/>
      <c r="C234" s="4"/>
      <c r="D234" s="4"/>
      <c r="E234" s="4"/>
      <c r="F234" s="4"/>
      <c r="G234" s="4"/>
      <c r="H234" s="4"/>
      <c r="I234" s="98"/>
      <c r="J234" s="4"/>
      <c r="K234" s="4"/>
      <c r="L234" s="105"/>
      <c r="M234" s="4"/>
      <c r="N234" s="4"/>
      <c r="O234" s="98"/>
      <c r="P234" s="4"/>
      <c r="Q234" s="4"/>
      <c r="R234" s="105"/>
      <c r="S234" s="4"/>
      <c r="T234" s="4"/>
      <c r="U234" s="7"/>
      <c r="V234" s="7"/>
      <c r="W234" s="4"/>
      <c r="X234" s="4"/>
      <c r="Y234" s="4"/>
      <c r="Z234" s="4"/>
    </row>
    <row r="235">
      <c r="A235" s="28"/>
      <c r="B235" s="2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7"/>
      <c r="V235" s="7"/>
      <c r="W235" s="4"/>
      <c r="X235" s="4"/>
      <c r="Y235" s="4"/>
      <c r="Z235" s="4"/>
    </row>
    <row r="236">
      <c r="A236" s="28"/>
      <c r="B236" s="2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7"/>
      <c r="V236" s="7"/>
      <c r="W236" s="4"/>
      <c r="X236" s="4"/>
      <c r="Y236" s="4"/>
      <c r="Z236" s="4"/>
    </row>
    <row r="237">
      <c r="A237" s="28"/>
      <c r="B237" s="2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7"/>
      <c r="V237" s="7"/>
      <c r="W237" s="4"/>
      <c r="X237" s="4"/>
      <c r="Y237" s="4"/>
      <c r="Z237" s="4"/>
    </row>
    <row r="238">
      <c r="A238" s="28"/>
      <c r="B238" s="2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7"/>
      <c r="V238" s="7"/>
      <c r="W238" s="4"/>
      <c r="X238" s="4"/>
      <c r="Y238" s="4"/>
      <c r="Z238" s="4"/>
    </row>
    <row r="239">
      <c r="A239" s="28"/>
      <c r="B239" s="2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7"/>
      <c r="V239" s="7"/>
      <c r="W239" s="4"/>
      <c r="X239" s="4"/>
      <c r="Y239" s="4"/>
      <c r="Z239" s="4"/>
    </row>
    <row r="240">
      <c r="A240" s="28"/>
      <c r="B240" s="2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7"/>
      <c r="V240" s="7"/>
      <c r="W240" s="4"/>
      <c r="X240" s="4"/>
      <c r="Y240" s="4"/>
      <c r="Z240" s="4"/>
    </row>
    <row r="241">
      <c r="A241" s="28"/>
      <c r="B241" s="2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7"/>
      <c r="V241" s="7"/>
      <c r="W241" s="4"/>
      <c r="X241" s="4"/>
      <c r="Y241" s="4"/>
      <c r="Z241" s="4"/>
    </row>
    <row r="242">
      <c r="A242" s="28"/>
      <c r="B242" s="2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7"/>
      <c r="V242" s="7"/>
      <c r="W242" s="4"/>
      <c r="X242" s="4"/>
      <c r="Y242" s="4"/>
      <c r="Z242" s="4"/>
    </row>
    <row r="243">
      <c r="A243" s="28"/>
      <c r="B243" s="2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7"/>
      <c r="V243" s="7"/>
      <c r="W243" s="4"/>
      <c r="X243" s="4"/>
      <c r="Y243" s="4"/>
      <c r="Z243" s="4"/>
    </row>
    <row r="244">
      <c r="A244" s="28"/>
      <c r="B244" s="2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7"/>
      <c r="V244" s="7"/>
      <c r="W244" s="4"/>
      <c r="X244" s="4"/>
      <c r="Y244" s="4"/>
      <c r="Z244" s="4"/>
    </row>
    <row r="245">
      <c r="A245" s="28"/>
      <c r="B245" s="2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7"/>
      <c r="V245" s="7"/>
      <c r="W245" s="4"/>
      <c r="X245" s="4"/>
      <c r="Y245" s="4"/>
      <c r="Z245" s="4"/>
    </row>
    <row r="246">
      <c r="A246" s="28"/>
      <c r="B246" s="2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7"/>
      <c r="V246" s="7"/>
      <c r="W246" s="4"/>
      <c r="X246" s="4"/>
      <c r="Y246" s="4"/>
      <c r="Z246" s="4"/>
    </row>
    <row r="247">
      <c r="A247" s="28"/>
      <c r="B247" s="2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7"/>
      <c r="V247" s="7"/>
      <c r="W247" s="4"/>
      <c r="X247" s="4"/>
      <c r="Y247" s="4"/>
      <c r="Z247" s="4"/>
    </row>
    <row r="248">
      <c r="A248" s="28"/>
      <c r="B248" s="2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7"/>
      <c r="V248" s="7"/>
      <c r="W248" s="4"/>
      <c r="X248" s="4"/>
      <c r="Y248" s="4"/>
      <c r="Z248" s="4"/>
    </row>
    <row r="249">
      <c r="A249" s="28"/>
      <c r="B249" s="2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7"/>
      <c r="V249" s="7"/>
      <c r="W249" s="4"/>
      <c r="X249" s="4"/>
      <c r="Y249" s="4"/>
      <c r="Z249" s="4"/>
    </row>
    <row r="250">
      <c r="A250" s="28"/>
      <c r="B250" s="2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7"/>
      <c r="V250" s="7"/>
      <c r="W250" s="4"/>
      <c r="X250" s="4"/>
      <c r="Y250" s="4"/>
      <c r="Z250" s="4"/>
    </row>
    <row r="251">
      <c r="A251" s="28"/>
      <c r="B251" s="2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7"/>
      <c r="V251" s="7"/>
      <c r="W251" s="4"/>
      <c r="X251" s="4"/>
      <c r="Y251" s="4"/>
      <c r="Z251" s="4"/>
    </row>
    <row r="252">
      <c r="A252" s="28"/>
      <c r="B252" s="2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7"/>
      <c r="V252" s="7"/>
      <c r="W252" s="4"/>
      <c r="X252" s="4"/>
      <c r="Y252" s="4"/>
      <c r="Z252" s="4"/>
    </row>
    <row r="253">
      <c r="A253" s="28"/>
      <c r="B253" s="2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7"/>
      <c r="V253" s="7"/>
      <c r="W253" s="4"/>
      <c r="X253" s="4"/>
      <c r="Y253" s="4"/>
      <c r="Z253" s="4"/>
    </row>
    <row r="254">
      <c r="A254" s="28"/>
      <c r="B254" s="2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7"/>
      <c r="V254" s="7"/>
      <c r="W254" s="4"/>
      <c r="X254" s="4"/>
      <c r="Y254" s="4"/>
      <c r="Z254" s="4"/>
    </row>
    <row r="255">
      <c r="A255" s="28"/>
      <c r="B255" s="2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7"/>
      <c r="V255" s="7"/>
      <c r="W255" s="4"/>
      <c r="X255" s="4"/>
      <c r="Y255" s="4"/>
      <c r="Z255" s="4"/>
    </row>
    <row r="256">
      <c r="A256" s="28"/>
      <c r="B256" s="2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7"/>
      <c r="V256" s="7"/>
      <c r="W256" s="4"/>
      <c r="X256" s="4"/>
      <c r="Y256" s="4"/>
      <c r="Z256" s="4"/>
    </row>
    <row r="257">
      <c r="A257" s="28"/>
      <c r="B257" s="2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7"/>
      <c r="V257" s="7"/>
      <c r="W257" s="4"/>
      <c r="X257" s="4"/>
      <c r="Y257" s="4"/>
      <c r="Z257" s="4"/>
    </row>
    <row r="258">
      <c r="A258" s="28"/>
      <c r="B258" s="2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7"/>
      <c r="V258" s="7"/>
      <c r="W258" s="4"/>
      <c r="X258" s="4"/>
      <c r="Y258" s="4"/>
      <c r="Z258" s="4"/>
    </row>
    <row r="259">
      <c r="A259" s="28"/>
      <c r="B259" s="2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7"/>
      <c r="V259" s="7"/>
      <c r="W259" s="4"/>
      <c r="X259" s="4"/>
      <c r="Y259" s="4"/>
      <c r="Z259" s="4"/>
    </row>
    <row r="260">
      <c r="A260" s="28"/>
      <c r="B260" s="2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7"/>
      <c r="V260" s="7"/>
      <c r="W260" s="4"/>
      <c r="X260" s="4"/>
      <c r="Y260" s="4"/>
      <c r="Z260" s="4"/>
    </row>
    <row r="261">
      <c r="A261" s="28"/>
      <c r="B261" s="2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7"/>
      <c r="V261" s="7"/>
      <c r="W261" s="4"/>
      <c r="X261" s="4"/>
      <c r="Y261" s="4"/>
      <c r="Z261" s="4"/>
    </row>
    <row r="262">
      <c r="A262" s="28"/>
      <c r="B262" s="2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7"/>
      <c r="V262" s="7"/>
      <c r="W262" s="4"/>
      <c r="X262" s="4"/>
      <c r="Y262" s="4"/>
      <c r="Z262" s="4"/>
    </row>
    <row r="263">
      <c r="A263" s="28"/>
      <c r="B263" s="2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7"/>
      <c r="V263" s="7"/>
      <c r="W263" s="4"/>
      <c r="X263" s="4"/>
      <c r="Y263" s="4"/>
      <c r="Z263" s="4"/>
    </row>
    <row r="264">
      <c r="A264" s="28"/>
      <c r="B264" s="2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7"/>
      <c r="V264" s="7"/>
      <c r="W264" s="4"/>
      <c r="X264" s="4"/>
      <c r="Y264" s="4"/>
      <c r="Z264" s="4"/>
    </row>
    <row r="265">
      <c r="A265" s="28"/>
      <c r="B265" s="2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7"/>
      <c r="V265" s="7"/>
      <c r="W265" s="4"/>
      <c r="X265" s="4"/>
      <c r="Y265" s="4"/>
      <c r="Z265" s="4"/>
    </row>
    <row r="266">
      <c r="A266" s="28"/>
      <c r="B266" s="2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7"/>
      <c r="V266" s="7"/>
      <c r="W266" s="4"/>
      <c r="X266" s="4"/>
      <c r="Y266" s="4"/>
      <c r="Z266" s="4"/>
    </row>
    <row r="267">
      <c r="A267" s="28"/>
      <c r="B267" s="2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7"/>
      <c r="V267" s="7"/>
      <c r="W267" s="4"/>
      <c r="X267" s="4"/>
      <c r="Y267" s="4"/>
      <c r="Z267" s="4"/>
    </row>
    <row r="268">
      <c r="A268" s="28"/>
      <c r="B268" s="2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7"/>
      <c r="V268" s="7"/>
      <c r="W268" s="4"/>
      <c r="X268" s="4"/>
      <c r="Y268" s="4"/>
      <c r="Z268" s="4"/>
    </row>
    <row r="269">
      <c r="A269" s="28"/>
      <c r="B269" s="2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7"/>
      <c r="V269" s="7"/>
      <c r="W269" s="4"/>
      <c r="X269" s="4"/>
      <c r="Y269" s="4"/>
      <c r="Z269" s="4"/>
    </row>
    <row r="270">
      <c r="A270" s="28"/>
      <c r="B270" s="2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7"/>
      <c r="V270" s="7"/>
      <c r="W270" s="4"/>
      <c r="X270" s="4"/>
      <c r="Y270" s="4"/>
      <c r="Z270" s="4"/>
    </row>
    <row r="271">
      <c r="A271" s="28"/>
      <c r="B271" s="2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7"/>
      <c r="V271" s="7"/>
      <c r="W271" s="4"/>
      <c r="X271" s="4"/>
      <c r="Y271" s="4"/>
      <c r="Z271" s="4"/>
    </row>
    <row r="272">
      <c r="A272" s="28"/>
      <c r="B272" s="28" t="s">
        <v>533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7"/>
      <c r="V272" s="7"/>
      <c r="W272" s="4"/>
      <c r="X272" s="4"/>
      <c r="Y272" s="4"/>
      <c r="Z272" s="4"/>
    </row>
    <row r="273">
      <c r="A273" s="28"/>
      <c r="B273" s="28"/>
      <c r="C273" s="4"/>
      <c r="D273" s="4"/>
      <c r="E273" s="4"/>
      <c r="F273" s="4"/>
      <c r="G273" s="4" t="s">
        <v>534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7"/>
      <c r="V273" s="7"/>
      <c r="W273" s="4"/>
      <c r="X273" s="4"/>
      <c r="Y273" s="4"/>
      <c r="Z273" s="4"/>
    </row>
    <row r="274">
      <c r="A274" s="28"/>
      <c r="B274" s="28"/>
      <c r="C274" s="4"/>
      <c r="D274" s="324"/>
      <c r="E274" s="324"/>
      <c r="F274" s="324"/>
      <c r="G274" s="324"/>
      <c r="H274" s="324"/>
      <c r="I274" s="326"/>
      <c r="J274" s="326"/>
      <c r="K274" s="328"/>
      <c r="L274" s="324"/>
      <c r="M274" s="4"/>
      <c r="N274" s="4"/>
      <c r="O274" s="4"/>
      <c r="P274" s="4"/>
      <c r="Q274" s="4"/>
      <c r="R274" s="4"/>
      <c r="S274" s="4"/>
      <c r="T274" s="4"/>
      <c r="U274" s="7"/>
      <c r="V274" s="7"/>
      <c r="W274" s="4"/>
      <c r="X274" s="4"/>
      <c r="Y274" s="4"/>
      <c r="Z274" s="4"/>
    </row>
    <row r="275">
      <c r="A275" s="28"/>
      <c r="B275" s="28"/>
      <c r="C275" s="4"/>
      <c r="D275" s="324"/>
      <c r="E275" s="330" t="s">
        <v>536</v>
      </c>
      <c r="F275" s="330" t="s">
        <v>537</v>
      </c>
      <c r="G275" s="330" t="s">
        <v>539</v>
      </c>
      <c r="H275" s="330" t="s">
        <v>540</v>
      </c>
      <c r="I275" s="331" t="s">
        <v>541</v>
      </c>
      <c r="J275" s="331" t="s">
        <v>542</v>
      </c>
      <c r="K275" s="328" t="s">
        <v>543</v>
      </c>
      <c r="L275" s="324"/>
      <c r="M275" s="4"/>
      <c r="N275" s="4"/>
      <c r="O275" s="4"/>
      <c r="P275" s="4"/>
      <c r="Q275" s="4"/>
      <c r="R275" s="4"/>
      <c r="S275" s="4"/>
      <c r="T275" s="4"/>
      <c r="U275" s="7"/>
      <c r="V275" s="7"/>
      <c r="W275" s="4"/>
      <c r="X275" s="4"/>
      <c r="Y275" s="4"/>
      <c r="Z275" s="4"/>
    </row>
    <row r="276">
      <c r="A276" s="28"/>
      <c r="B276" s="28"/>
      <c r="C276" s="4"/>
      <c r="D276" s="324"/>
      <c r="E276" s="333">
        <v>1.0</v>
      </c>
      <c r="F276" s="333">
        <f>E119</f>
        <v>8</v>
      </c>
      <c r="G276" s="333">
        <f>M26*1000-F184+0.5*Q11+10*G112+120</f>
        <v>2665</v>
      </c>
      <c r="H276" s="334">
        <f>10000*'Nhập dữ liệu'!C13/(2*'Tính Bản'!G119)</f>
        <v>207.6923077</v>
      </c>
      <c r="I276" s="335">
        <f t="shared" ref="I276:I293" si="4">G276*H276/1000</f>
        <v>553.5</v>
      </c>
      <c r="J276" s="335">
        <f t="shared" ref="J276:J293" si="5">I276*K276</f>
        <v>218.6325</v>
      </c>
      <c r="K276" s="328">
        <f t="shared" ref="K276:K295" si="6">IF(F276=6,0.222,IF(F276=8,0.395,IF(F276=10,0.617,IF(F276=12,0.888,IF(F276=14,1.208,IF(F276=16,1.578,IF(F276=18,1.998,IF(F276=20,2.466,IF(F276=22,2.984,IF(F276=25,3.853,IF(F276=28,4.834,IF(F276=30,5.549,IF(F276=32,6.313,IF(F276=36,7.99,IF(F276=40,9.865)))))))))))))))</f>
        <v>0.395</v>
      </c>
      <c r="L276" s="324"/>
      <c r="M276" s="4"/>
      <c r="N276" s="4"/>
      <c r="O276" s="4"/>
      <c r="P276" s="4"/>
      <c r="Q276" s="4"/>
      <c r="R276" s="4"/>
      <c r="S276" s="4"/>
      <c r="T276" s="4"/>
      <c r="U276" s="7"/>
      <c r="V276" s="7"/>
      <c r="W276" s="4"/>
      <c r="X276" s="4"/>
      <c r="Y276" s="4"/>
      <c r="Z276" s="4"/>
    </row>
    <row r="277">
      <c r="A277" s="28"/>
      <c r="B277" s="28"/>
      <c r="C277" s="4"/>
      <c r="D277" s="324"/>
      <c r="E277" s="333">
        <v>2.0</v>
      </c>
      <c r="F277" s="333">
        <f>E119</f>
        <v>8</v>
      </c>
      <c r="G277" s="334">
        <f>M26*1000-L29*1000/8-0.5*M5-M26*1000/12+120</f>
        <v>1945.416667</v>
      </c>
      <c r="H277" s="334">
        <f>H276</f>
        <v>207.6923077</v>
      </c>
      <c r="I277" s="335">
        <f t="shared" si="4"/>
        <v>404.0480769</v>
      </c>
      <c r="J277" s="335">
        <f t="shared" si="5"/>
        <v>159.5989904</v>
      </c>
      <c r="K277" s="328">
        <f t="shared" si="6"/>
        <v>0.395</v>
      </c>
      <c r="L277" s="324"/>
      <c r="M277" s="4"/>
      <c r="N277" s="4"/>
      <c r="O277" s="4"/>
      <c r="P277" s="4"/>
      <c r="Q277" s="4"/>
      <c r="R277" s="4"/>
      <c r="S277" s="4"/>
      <c r="T277" s="4"/>
      <c r="U277" s="7"/>
      <c r="V277" s="7"/>
      <c r="W277" s="4"/>
      <c r="X277" s="4"/>
      <c r="Y277" s="4"/>
      <c r="Z277" s="4"/>
    </row>
    <row r="278">
      <c r="A278" s="28"/>
      <c r="B278" s="28"/>
      <c r="C278" s="4"/>
      <c r="D278" s="324"/>
      <c r="E278" s="333">
        <v>3.0</v>
      </c>
      <c r="F278" s="333">
        <f>E144</f>
        <v>8</v>
      </c>
      <c r="G278" s="333">
        <f>2000*'Nhập dữ liệu'!B13+300</f>
        <v>5500</v>
      </c>
      <c r="H278" s="334">
        <f>4000*'Nhập dữ liệu'!C13/(2*'Tính Bản'!G144)</f>
        <v>56.84210526</v>
      </c>
      <c r="I278" s="335">
        <f t="shared" si="4"/>
        <v>312.6315789</v>
      </c>
      <c r="J278" s="335">
        <f t="shared" si="5"/>
        <v>123.4894737</v>
      </c>
      <c r="K278" s="328">
        <f t="shared" si="6"/>
        <v>0.395</v>
      </c>
      <c r="L278" s="324"/>
      <c r="M278" s="4"/>
      <c r="N278" s="4"/>
      <c r="O278" s="4"/>
      <c r="P278" s="4"/>
      <c r="Q278" s="4"/>
      <c r="R278" s="4"/>
      <c r="S278" s="4"/>
      <c r="T278" s="4"/>
      <c r="U278" s="7"/>
      <c r="V278" s="7"/>
      <c r="W278" s="4"/>
      <c r="X278" s="4"/>
      <c r="Y278" s="4"/>
      <c r="Z278" s="4"/>
    </row>
    <row r="279">
      <c r="A279" s="28"/>
      <c r="B279" s="28"/>
      <c r="C279" s="4"/>
      <c r="D279" s="324"/>
      <c r="E279" s="333">
        <v>4.0</v>
      </c>
      <c r="F279" s="333">
        <f>E144</f>
        <v>8</v>
      </c>
      <c r="G279" s="333">
        <v>2040.0</v>
      </c>
      <c r="H279" s="333">
        <v>248.0</v>
      </c>
      <c r="I279" s="335">
        <f t="shared" si="4"/>
        <v>505.92</v>
      </c>
      <c r="J279" s="335">
        <f t="shared" si="5"/>
        <v>199.8384</v>
      </c>
      <c r="K279" s="328">
        <f t="shared" si="6"/>
        <v>0.395</v>
      </c>
      <c r="L279" s="324"/>
      <c r="M279" s="4"/>
      <c r="N279" s="4"/>
      <c r="O279" s="4"/>
      <c r="P279" s="4"/>
      <c r="Q279" s="4"/>
      <c r="R279" s="4"/>
      <c r="S279" s="4"/>
      <c r="T279" s="4"/>
      <c r="U279" s="7"/>
      <c r="V279" s="7"/>
      <c r="W279" s="4"/>
      <c r="X279" s="4"/>
      <c r="Y279" s="4"/>
      <c r="Z279" s="4"/>
    </row>
    <row r="280">
      <c r="A280" s="28"/>
      <c r="B280" s="28"/>
      <c r="C280" s="4"/>
      <c r="D280" s="324"/>
      <c r="E280" s="333">
        <v>5.0</v>
      </c>
      <c r="F280" s="333">
        <f>E119</f>
        <v>8</v>
      </c>
      <c r="G280" s="333">
        <v>1110.0</v>
      </c>
      <c r="H280" s="333">
        <v>310.0</v>
      </c>
      <c r="I280" s="335">
        <f t="shared" si="4"/>
        <v>344.1</v>
      </c>
      <c r="J280" s="335">
        <f t="shared" si="5"/>
        <v>135.9195</v>
      </c>
      <c r="K280" s="328">
        <f t="shared" si="6"/>
        <v>0.395</v>
      </c>
      <c r="L280" s="324"/>
      <c r="M280" s="4"/>
      <c r="N280" s="4"/>
      <c r="O280" s="4"/>
      <c r="P280" s="4"/>
      <c r="Q280" s="4"/>
      <c r="R280" s="4"/>
      <c r="S280" s="4"/>
      <c r="T280" s="4"/>
      <c r="U280" s="7"/>
      <c r="V280" s="7"/>
      <c r="W280" s="4"/>
      <c r="X280" s="4"/>
      <c r="Y280" s="4"/>
      <c r="Z280" s="4"/>
    </row>
    <row r="281">
      <c r="A281" s="28"/>
      <c r="B281" s="28"/>
      <c r="C281" s="4"/>
      <c r="D281" s="324"/>
      <c r="E281" s="333">
        <v>6.0</v>
      </c>
      <c r="F281" s="333">
        <f>E119</f>
        <v>8</v>
      </c>
      <c r="G281" s="333">
        <v>1660.0</v>
      </c>
      <c r="H281" s="333">
        <v>282.0</v>
      </c>
      <c r="I281" s="335">
        <f t="shared" si="4"/>
        <v>468.12</v>
      </c>
      <c r="J281" s="335">
        <f t="shared" si="5"/>
        <v>184.9074</v>
      </c>
      <c r="K281" s="328">
        <f t="shared" si="6"/>
        <v>0.395</v>
      </c>
      <c r="L281" s="324"/>
      <c r="M281" s="4"/>
      <c r="N281" s="4"/>
      <c r="O281" s="4"/>
      <c r="P281" s="4"/>
      <c r="Q281" s="4"/>
      <c r="R281" s="4"/>
      <c r="S281" s="4"/>
      <c r="T281" s="4"/>
      <c r="U281" s="7"/>
      <c r="V281" s="7"/>
      <c r="W281" s="4"/>
      <c r="X281" s="4"/>
      <c r="Y281" s="4"/>
      <c r="Z281" s="4"/>
    </row>
    <row r="282">
      <c r="A282" s="28"/>
      <c r="B282" s="28"/>
      <c r="C282" s="4"/>
      <c r="D282" s="324"/>
      <c r="E282" s="333">
        <v>7.0</v>
      </c>
      <c r="F282" s="333">
        <f>E119</f>
        <v>8</v>
      </c>
      <c r="G282" s="333">
        <v>1230.0</v>
      </c>
      <c r="H282" s="333">
        <v>282.0</v>
      </c>
      <c r="I282" s="335">
        <f t="shared" si="4"/>
        <v>346.86</v>
      </c>
      <c r="J282" s="335">
        <f t="shared" si="5"/>
        <v>137.0097</v>
      </c>
      <c r="K282" s="328">
        <f t="shared" si="6"/>
        <v>0.395</v>
      </c>
      <c r="L282" s="324"/>
      <c r="M282" s="4"/>
      <c r="N282" s="4"/>
      <c r="O282" s="4"/>
      <c r="P282" s="4"/>
      <c r="Q282" s="4"/>
      <c r="R282" s="4"/>
      <c r="S282" s="4"/>
      <c r="T282" s="4"/>
      <c r="U282" s="7"/>
      <c r="V282" s="7"/>
      <c r="W282" s="4"/>
      <c r="X282" s="4"/>
      <c r="Y282" s="4"/>
      <c r="Z282" s="4"/>
    </row>
    <row r="283">
      <c r="A283" s="28"/>
      <c r="B283" s="28"/>
      <c r="C283" s="4"/>
      <c r="D283" s="324"/>
      <c r="E283" s="333">
        <v>8.0</v>
      </c>
      <c r="F283" s="333">
        <f>E144</f>
        <v>8</v>
      </c>
      <c r="G283" s="333">
        <v>1660.0</v>
      </c>
      <c r="H283" s="333">
        <v>248.0</v>
      </c>
      <c r="I283" s="335">
        <f t="shared" si="4"/>
        <v>411.68</v>
      </c>
      <c r="J283" s="335">
        <f t="shared" si="5"/>
        <v>162.6136</v>
      </c>
      <c r="K283" s="328">
        <f t="shared" si="6"/>
        <v>0.395</v>
      </c>
      <c r="L283" s="324"/>
      <c r="M283" s="4"/>
      <c r="N283" s="4"/>
      <c r="O283" s="4"/>
      <c r="P283" s="4"/>
      <c r="Q283" s="4"/>
      <c r="R283" s="4"/>
      <c r="S283" s="4"/>
      <c r="T283" s="4"/>
      <c r="U283" s="7"/>
      <c r="V283" s="7"/>
      <c r="W283" s="4"/>
      <c r="X283" s="4"/>
      <c r="Y283" s="4"/>
      <c r="Z283" s="4"/>
    </row>
    <row r="284">
      <c r="A284" s="28"/>
      <c r="B284" s="28"/>
      <c r="C284" s="4"/>
      <c r="D284" s="324"/>
      <c r="E284" s="333">
        <v>9.0</v>
      </c>
      <c r="F284" s="333">
        <f>E144</f>
        <v>8</v>
      </c>
      <c r="G284" s="333">
        <v>1230.0</v>
      </c>
      <c r="H284" s="333">
        <v>248.0</v>
      </c>
      <c r="I284" s="335">
        <f t="shared" si="4"/>
        <v>305.04</v>
      </c>
      <c r="J284" s="335">
        <f t="shared" si="5"/>
        <v>120.4908</v>
      </c>
      <c r="K284" s="328">
        <f t="shared" si="6"/>
        <v>0.395</v>
      </c>
      <c r="L284" s="324"/>
      <c r="M284" s="4"/>
      <c r="N284" s="4"/>
      <c r="O284" s="4"/>
      <c r="P284" s="4"/>
      <c r="Q284" s="4"/>
      <c r="R284" s="4"/>
      <c r="S284" s="4"/>
      <c r="T284" s="4"/>
      <c r="U284" s="7"/>
      <c r="V284" s="7"/>
      <c r="W284" s="4"/>
      <c r="X284" s="4"/>
      <c r="Y284" s="4"/>
      <c r="Z284" s="4"/>
    </row>
    <row r="285">
      <c r="A285" s="28"/>
      <c r="B285" s="28"/>
      <c r="C285" s="4"/>
      <c r="D285" s="324"/>
      <c r="E285" s="333">
        <v>10.0</v>
      </c>
      <c r="F285" s="333">
        <f t="shared" ref="F285:F288" si="7">6</f>
        <v>6</v>
      </c>
      <c r="G285" s="333">
        <v>31000.0</v>
      </c>
      <c r="H285" s="333">
        <v>100.0</v>
      </c>
      <c r="I285" s="335">
        <f t="shared" si="4"/>
        <v>3100</v>
      </c>
      <c r="J285" s="335">
        <f t="shared" si="5"/>
        <v>688.2</v>
      </c>
      <c r="K285" s="328">
        <f t="shared" si="6"/>
        <v>0.222</v>
      </c>
      <c r="L285" s="324"/>
      <c r="M285" s="4"/>
      <c r="N285" s="4"/>
      <c r="O285" s="4"/>
      <c r="P285" s="4"/>
      <c r="Q285" s="4"/>
      <c r="R285" s="4"/>
      <c r="S285" s="4"/>
      <c r="T285" s="4"/>
      <c r="U285" s="7"/>
      <c r="V285" s="7"/>
      <c r="W285" s="4"/>
      <c r="X285" s="4"/>
      <c r="Y285" s="4"/>
      <c r="Z285" s="4"/>
    </row>
    <row r="286">
      <c r="A286" s="28"/>
      <c r="B286" s="28"/>
      <c r="C286" s="4"/>
      <c r="D286" s="324"/>
      <c r="E286" s="333">
        <v>11.0</v>
      </c>
      <c r="F286" s="333">
        <f t="shared" si="7"/>
        <v>6</v>
      </c>
      <c r="G286" s="333">
        <v>31000.0</v>
      </c>
      <c r="H286" s="333">
        <v>48.0</v>
      </c>
      <c r="I286" s="335">
        <f t="shared" si="4"/>
        <v>1488</v>
      </c>
      <c r="J286" s="335">
        <f t="shared" si="5"/>
        <v>330.336</v>
      </c>
      <c r="K286" s="328">
        <f t="shared" si="6"/>
        <v>0.222</v>
      </c>
      <c r="L286" s="324"/>
      <c r="M286" s="4"/>
      <c r="N286" s="4"/>
      <c r="O286" s="4"/>
      <c r="P286" s="4"/>
      <c r="Q286" s="4"/>
      <c r="R286" s="4"/>
      <c r="S286" s="4"/>
      <c r="T286" s="4"/>
      <c r="U286" s="7"/>
      <c r="V286" s="7"/>
      <c r="W286" s="4"/>
      <c r="X286" s="4"/>
      <c r="Y286" s="4"/>
      <c r="Z286" s="4"/>
    </row>
    <row r="287">
      <c r="A287" s="28"/>
      <c r="B287" s="28"/>
      <c r="C287" s="4"/>
      <c r="D287" s="324"/>
      <c r="E287" s="333">
        <v>12.0</v>
      </c>
      <c r="F287" s="333">
        <f t="shared" si="7"/>
        <v>6</v>
      </c>
      <c r="G287" s="333">
        <v>1780.0</v>
      </c>
      <c r="H287" s="333">
        <v>126.0</v>
      </c>
      <c r="I287" s="335">
        <f t="shared" si="4"/>
        <v>224.28</v>
      </c>
      <c r="J287" s="335">
        <f t="shared" si="5"/>
        <v>49.79016</v>
      </c>
      <c r="K287" s="328">
        <f t="shared" si="6"/>
        <v>0.222</v>
      </c>
      <c r="L287" s="324"/>
      <c r="M287" s="4"/>
      <c r="N287" s="4"/>
      <c r="O287" s="4"/>
      <c r="P287" s="4"/>
      <c r="Q287" s="4"/>
      <c r="R287" s="4"/>
      <c r="S287" s="4"/>
      <c r="T287" s="4"/>
      <c r="U287" s="7"/>
      <c r="V287" s="7"/>
      <c r="W287" s="4"/>
      <c r="X287" s="4"/>
      <c r="Y287" s="4"/>
      <c r="Z287" s="4"/>
    </row>
    <row r="288">
      <c r="A288" s="28"/>
      <c r="B288" s="28"/>
      <c r="C288" s="4"/>
      <c r="D288" s="324"/>
      <c r="E288" s="333">
        <v>13.0</v>
      </c>
      <c r="F288" s="333">
        <f t="shared" si="7"/>
        <v>6</v>
      </c>
      <c r="G288" s="333">
        <v>25200.0</v>
      </c>
      <c r="H288" s="333">
        <v>90.0</v>
      </c>
      <c r="I288" s="335">
        <f t="shared" si="4"/>
        <v>2268</v>
      </c>
      <c r="J288" s="335">
        <f t="shared" si="5"/>
        <v>503.496</v>
      </c>
      <c r="K288" s="328">
        <f t="shared" si="6"/>
        <v>0.222</v>
      </c>
      <c r="L288" s="324"/>
      <c r="M288" s="4"/>
      <c r="N288" s="4"/>
      <c r="O288" s="4"/>
      <c r="P288" s="4"/>
      <c r="Q288" s="4"/>
      <c r="R288" s="4"/>
      <c r="S288" s="4"/>
      <c r="T288" s="4"/>
      <c r="U288" s="7"/>
      <c r="V288" s="7"/>
      <c r="W288" s="4"/>
      <c r="X288" s="4"/>
      <c r="Y288" s="4"/>
      <c r="Z288" s="4"/>
    </row>
    <row r="289">
      <c r="A289" s="28"/>
      <c r="B289" s="28"/>
      <c r="C289" s="4"/>
      <c r="D289" s="324"/>
      <c r="E289" s="333">
        <v>14.0</v>
      </c>
      <c r="F289" s="333">
        <v>6.0</v>
      </c>
      <c r="G289" s="333">
        <v>8700.0</v>
      </c>
      <c r="H289" s="333">
        <v>78.0</v>
      </c>
      <c r="I289" s="335">
        <f t="shared" si="4"/>
        <v>678.6</v>
      </c>
      <c r="J289" s="335">
        <f t="shared" si="5"/>
        <v>150.6492</v>
      </c>
      <c r="K289" s="328">
        <f t="shared" si="6"/>
        <v>0.222</v>
      </c>
      <c r="L289" s="324"/>
      <c r="M289" s="4"/>
      <c r="N289" s="4"/>
      <c r="O289" s="4"/>
      <c r="P289" s="4"/>
      <c r="Q289" s="4"/>
      <c r="R289" s="4"/>
      <c r="S289" s="4"/>
      <c r="T289" s="4"/>
      <c r="U289" s="7"/>
      <c r="V289" s="7"/>
      <c r="W289" s="4"/>
      <c r="X289" s="4"/>
      <c r="Y289" s="4"/>
      <c r="Z289" s="4"/>
    </row>
    <row r="290">
      <c r="A290" s="28"/>
      <c r="B290" s="28"/>
      <c r="C290" s="4"/>
      <c r="D290" s="324"/>
      <c r="E290" s="333" t="s">
        <v>558</v>
      </c>
      <c r="F290" s="333">
        <v>8.0</v>
      </c>
      <c r="G290" s="333">
        <v>8700.0</v>
      </c>
      <c r="H290" s="333">
        <v>36.0</v>
      </c>
      <c r="I290" s="335">
        <f t="shared" si="4"/>
        <v>313.2</v>
      </c>
      <c r="J290" s="335">
        <f t="shared" si="5"/>
        <v>123.714</v>
      </c>
      <c r="K290" s="328">
        <f t="shared" si="6"/>
        <v>0.395</v>
      </c>
      <c r="L290" s="324"/>
      <c r="M290" s="4"/>
      <c r="N290" s="4"/>
      <c r="O290" s="4"/>
      <c r="P290" s="4"/>
      <c r="Q290" s="4"/>
      <c r="R290" s="4"/>
      <c r="S290" s="4"/>
      <c r="T290" s="4"/>
      <c r="U290" s="7"/>
      <c r="V290" s="7"/>
      <c r="W290" s="4"/>
      <c r="X290" s="4"/>
      <c r="Y290" s="4"/>
      <c r="Z290" s="4"/>
    </row>
    <row r="291">
      <c r="A291" s="28"/>
      <c r="B291" s="28"/>
      <c r="C291" s="4"/>
      <c r="D291" s="324"/>
      <c r="E291" s="333">
        <v>15.0</v>
      </c>
      <c r="F291" s="333">
        <v>6.0</v>
      </c>
      <c r="G291" s="333">
        <v>2040.0</v>
      </c>
      <c r="H291" s="333">
        <v>232.0</v>
      </c>
      <c r="I291" s="335">
        <f t="shared" si="4"/>
        <v>473.28</v>
      </c>
      <c r="J291" s="335">
        <f t="shared" si="5"/>
        <v>105.06816</v>
      </c>
      <c r="K291" s="328">
        <f t="shared" si="6"/>
        <v>0.222</v>
      </c>
      <c r="L291" s="324"/>
      <c r="M291" s="4"/>
      <c r="N291" s="4"/>
      <c r="O291" s="4"/>
      <c r="P291" s="4"/>
      <c r="Q291" s="4"/>
      <c r="R291" s="4"/>
      <c r="S291" s="4"/>
      <c r="T291" s="4"/>
      <c r="U291" s="7"/>
      <c r="V291" s="7"/>
      <c r="W291" s="4"/>
      <c r="X291" s="4"/>
      <c r="Y291" s="4"/>
      <c r="Z291" s="4"/>
    </row>
    <row r="292">
      <c r="A292" s="28"/>
      <c r="B292" s="28"/>
      <c r="C292" s="4"/>
      <c r="D292" s="324"/>
      <c r="E292" s="333">
        <v>16.0</v>
      </c>
      <c r="F292" s="333">
        <v>6.0</v>
      </c>
      <c r="G292" s="333">
        <v>1660.0</v>
      </c>
      <c r="H292" s="333">
        <v>310.0</v>
      </c>
      <c r="I292" s="335">
        <f t="shared" si="4"/>
        <v>514.6</v>
      </c>
      <c r="J292" s="335">
        <f t="shared" si="5"/>
        <v>114.2412</v>
      </c>
      <c r="K292" s="328">
        <f t="shared" si="6"/>
        <v>0.222</v>
      </c>
      <c r="L292" s="324"/>
      <c r="M292" s="4"/>
      <c r="N292" s="4"/>
      <c r="O292" s="4"/>
      <c r="P292" s="4"/>
      <c r="Q292" s="4"/>
      <c r="R292" s="4"/>
      <c r="S292" s="4"/>
      <c r="T292" s="4"/>
      <c r="U292" s="7"/>
      <c r="V292" s="7"/>
      <c r="W292" s="4"/>
      <c r="X292" s="4"/>
      <c r="Y292" s="4"/>
      <c r="Z292" s="4"/>
    </row>
    <row r="293">
      <c r="A293" s="28"/>
      <c r="B293" s="28"/>
      <c r="C293" s="4"/>
      <c r="D293" s="324"/>
      <c r="E293" s="333">
        <v>17.0</v>
      </c>
      <c r="F293" s="333">
        <v>6.0</v>
      </c>
      <c r="G293" s="333">
        <v>1230.0</v>
      </c>
      <c r="H293" s="333">
        <v>310.0</v>
      </c>
      <c r="I293" s="335">
        <f t="shared" si="4"/>
        <v>381.3</v>
      </c>
      <c r="J293" s="335">
        <f t="shared" si="5"/>
        <v>84.6486</v>
      </c>
      <c r="K293" s="328">
        <f t="shared" si="6"/>
        <v>0.222</v>
      </c>
      <c r="L293" s="324"/>
      <c r="M293" s="4"/>
      <c r="N293" s="4"/>
      <c r="O293" s="4"/>
      <c r="P293" s="4"/>
      <c r="Q293" s="4"/>
      <c r="R293" s="4"/>
      <c r="S293" s="4"/>
      <c r="T293" s="4"/>
      <c r="U293" s="7"/>
      <c r="V293" s="7"/>
      <c r="W293" s="4"/>
      <c r="X293" s="4"/>
      <c r="Y293" s="4"/>
      <c r="Z293" s="4"/>
    </row>
    <row r="294">
      <c r="A294" s="28"/>
      <c r="B294" s="28"/>
      <c r="C294" s="4"/>
      <c r="D294" s="324"/>
      <c r="E294" s="330"/>
      <c r="F294" s="330"/>
      <c r="G294" s="330"/>
      <c r="H294" s="330"/>
      <c r="I294" s="331"/>
      <c r="J294" s="331"/>
      <c r="K294" s="328" t="b">
        <f t="shared" si="6"/>
        <v>0</v>
      </c>
      <c r="L294" s="324"/>
      <c r="M294" s="4"/>
      <c r="N294" s="4"/>
      <c r="O294" s="4"/>
      <c r="P294" s="4"/>
      <c r="Q294" s="4"/>
      <c r="R294" s="4"/>
      <c r="S294" s="4"/>
      <c r="T294" s="4"/>
      <c r="U294" s="7"/>
      <c r="V294" s="7"/>
      <c r="W294" s="4"/>
      <c r="X294" s="4"/>
      <c r="Y294" s="4"/>
      <c r="Z294" s="4"/>
    </row>
    <row r="295">
      <c r="A295" s="28"/>
      <c r="B295" s="28"/>
      <c r="C295" s="4"/>
      <c r="D295" s="324"/>
      <c r="E295" s="330"/>
      <c r="F295" s="330"/>
      <c r="G295" s="330"/>
      <c r="H295" s="330"/>
      <c r="I295" s="331"/>
      <c r="J295" s="331"/>
      <c r="K295" s="328" t="b">
        <f t="shared" si="6"/>
        <v>0</v>
      </c>
      <c r="L295" s="341"/>
      <c r="M295" s="4"/>
      <c r="N295" s="4"/>
      <c r="O295" s="4"/>
      <c r="P295" s="4"/>
      <c r="Q295" s="4"/>
      <c r="R295" s="4"/>
      <c r="S295" s="4"/>
      <c r="T295" s="4"/>
      <c r="U295" s="7"/>
      <c r="V295" s="7"/>
      <c r="W295" s="4"/>
      <c r="X295" s="4"/>
      <c r="Y295" s="4"/>
      <c r="Z295" s="4"/>
    </row>
    <row r="296">
      <c r="A296" s="28"/>
      <c r="B296" s="2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7"/>
      <c r="V296" s="7"/>
      <c r="W296" s="4"/>
      <c r="X296" s="4"/>
      <c r="Y296" s="4"/>
      <c r="Z296" s="4"/>
    </row>
    <row r="297">
      <c r="A297" s="28"/>
      <c r="B297" s="2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7"/>
      <c r="V297" s="7"/>
      <c r="W297" s="4"/>
      <c r="X297" s="4"/>
      <c r="Y297" s="4"/>
      <c r="Z297" s="4"/>
    </row>
    <row r="298">
      <c r="A298" s="28"/>
      <c r="B298" s="2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7"/>
      <c r="V298" s="7"/>
      <c r="W298" s="4"/>
      <c r="X298" s="4"/>
      <c r="Y298" s="4"/>
      <c r="Z298" s="4"/>
    </row>
    <row r="299">
      <c r="A299" s="28"/>
      <c r="B299" s="2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7"/>
      <c r="V299" s="7"/>
      <c r="W299" s="4"/>
      <c r="X299" s="4"/>
      <c r="Y299" s="4"/>
      <c r="Z299" s="4"/>
    </row>
    <row r="300">
      <c r="A300" s="28"/>
      <c r="B300" s="2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7"/>
      <c r="V300" s="7"/>
      <c r="W300" s="4"/>
      <c r="X300" s="4"/>
      <c r="Y300" s="4"/>
      <c r="Z300" s="4"/>
    </row>
    <row r="301">
      <c r="A301" s="28"/>
      <c r="B301" s="2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7"/>
      <c r="V301" s="7"/>
      <c r="W301" s="4"/>
      <c r="X301" s="4"/>
      <c r="Y301" s="4"/>
      <c r="Z301" s="4"/>
    </row>
    <row r="302">
      <c r="A302" s="28"/>
      <c r="B302" s="2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7"/>
      <c r="V302" s="7"/>
      <c r="W302" s="4"/>
      <c r="X302" s="4"/>
      <c r="Y302" s="4"/>
      <c r="Z302" s="4"/>
    </row>
    <row r="303">
      <c r="A303" s="28"/>
      <c r="B303" s="2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7"/>
      <c r="V303" s="7"/>
      <c r="W303" s="4"/>
      <c r="X303" s="4"/>
      <c r="Y303" s="4"/>
      <c r="Z303" s="4"/>
    </row>
    <row r="304">
      <c r="A304" s="28"/>
      <c r="B304" s="2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7"/>
      <c r="V304" s="7"/>
      <c r="W304" s="4"/>
      <c r="X304" s="4"/>
      <c r="Y304" s="4"/>
      <c r="Z304" s="4"/>
    </row>
    <row r="305">
      <c r="A305" s="28"/>
      <c r="B305" s="2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7"/>
      <c r="V305" s="7"/>
      <c r="W305" s="4"/>
      <c r="X305" s="4"/>
      <c r="Y305" s="4"/>
      <c r="Z305" s="4"/>
    </row>
    <row r="306">
      <c r="A306" s="28"/>
      <c r="B306" s="2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7"/>
      <c r="V306" s="7"/>
      <c r="W306" s="4"/>
      <c r="X306" s="4"/>
      <c r="Y306" s="4"/>
      <c r="Z306" s="4"/>
    </row>
    <row r="307">
      <c r="A307" s="28"/>
      <c r="B307" s="2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7"/>
      <c r="V307" s="7"/>
      <c r="W307" s="4"/>
      <c r="X307" s="4"/>
      <c r="Y307" s="4"/>
      <c r="Z307" s="4"/>
    </row>
    <row r="308">
      <c r="A308" s="28"/>
      <c r="B308" s="2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7"/>
      <c r="V308" s="7"/>
      <c r="W308" s="4"/>
      <c r="X308" s="4"/>
      <c r="Y308" s="4"/>
      <c r="Z308" s="4"/>
    </row>
    <row r="309">
      <c r="A309" s="28"/>
      <c r="B309" s="2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7"/>
      <c r="V309" s="7"/>
      <c r="W309" s="4"/>
      <c r="X309" s="4"/>
      <c r="Y309" s="4"/>
      <c r="Z309" s="4"/>
    </row>
    <row r="310">
      <c r="A310" s="28"/>
      <c r="B310" s="2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7"/>
      <c r="V310" s="7"/>
      <c r="W310" s="4"/>
      <c r="X310" s="4"/>
      <c r="Y310" s="4"/>
      <c r="Z310" s="4"/>
    </row>
    <row r="311">
      <c r="A311" s="28"/>
      <c r="B311" s="2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7"/>
      <c r="V311" s="7"/>
      <c r="W311" s="4"/>
      <c r="X311" s="4"/>
      <c r="Y311" s="4"/>
      <c r="Z311" s="4"/>
    </row>
    <row r="312">
      <c r="A312" s="28"/>
      <c r="B312" s="2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7"/>
      <c r="V312" s="7"/>
      <c r="W312" s="4"/>
      <c r="X312" s="4"/>
      <c r="Y312" s="4"/>
      <c r="Z312" s="4"/>
    </row>
    <row r="313">
      <c r="A313" s="28"/>
      <c r="B313" s="2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7"/>
      <c r="V313" s="7"/>
      <c r="W313" s="4"/>
      <c r="X313" s="4"/>
      <c r="Y313" s="4"/>
      <c r="Z313" s="4"/>
    </row>
    <row r="314">
      <c r="A314" s="28"/>
      <c r="B314" s="2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7"/>
      <c r="V314" s="7"/>
      <c r="W314" s="4"/>
      <c r="X314" s="4"/>
      <c r="Y314" s="4"/>
      <c r="Z314" s="4"/>
    </row>
    <row r="315">
      <c r="A315" s="28"/>
      <c r="B315" s="2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7"/>
      <c r="V315" s="7"/>
      <c r="W315" s="4"/>
      <c r="X315" s="4"/>
      <c r="Y315" s="4"/>
      <c r="Z315" s="4"/>
    </row>
    <row r="316">
      <c r="A316" s="28"/>
      <c r="B316" s="2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7"/>
      <c r="V316" s="7"/>
      <c r="W316" s="4"/>
      <c r="X316" s="4"/>
      <c r="Y316" s="4"/>
      <c r="Z316" s="4"/>
    </row>
    <row r="317">
      <c r="A317" s="28"/>
      <c r="B317" s="2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7"/>
      <c r="V317" s="7"/>
      <c r="W317" s="4"/>
      <c r="X317" s="4"/>
      <c r="Y317" s="4"/>
      <c r="Z317" s="4"/>
    </row>
    <row r="318">
      <c r="A318" s="28"/>
      <c r="B318" s="2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7"/>
      <c r="V318" s="7"/>
      <c r="W318" s="4"/>
      <c r="X318" s="4"/>
      <c r="Y318" s="4"/>
      <c r="Z318" s="4"/>
    </row>
    <row r="319">
      <c r="A319" s="28"/>
      <c r="B319" s="2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7"/>
      <c r="V319" s="7"/>
      <c r="W319" s="4"/>
      <c r="X319" s="4"/>
      <c r="Y319" s="4"/>
      <c r="Z319" s="4"/>
    </row>
    <row r="320">
      <c r="A320" s="28"/>
      <c r="B320" s="2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7"/>
      <c r="V320" s="7"/>
      <c r="W320" s="4"/>
      <c r="X320" s="4"/>
      <c r="Y320" s="4"/>
      <c r="Z320" s="4"/>
    </row>
    <row r="321">
      <c r="A321" s="28"/>
      <c r="B321" s="2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7"/>
      <c r="V321" s="7"/>
      <c r="W321" s="4"/>
      <c r="X321" s="4"/>
      <c r="Y321" s="4"/>
      <c r="Z321" s="4"/>
    </row>
    <row r="322">
      <c r="A322" s="28"/>
      <c r="B322" s="2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7"/>
      <c r="V322" s="7"/>
      <c r="W322" s="4"/>
      <c r="X322" s="4"/>
      <c r="Y322" s="4"/>
      <c r="Z322" s="4"/>
    </row>
    <row r="323">
      <c r="A323" s="28"/>
      <c r="B323" s="2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7"/>
      <c r="V323" s="7"/>
      <c r="W323" s="4"/>
      <c r="X323" s="4"/>
      <c r="Y323" s="4"/>
      <c r="Z323" s="4"/>
    </row>
    <row r="324">
      <c r="A324" s="28"/>
      <c r="B324" s="2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7"/>
      <c r="V324" s="7"/>
      <c r="W324" s="4"/>
      <c r="X324" s="4"/>
      <c r="Y324" s="4"/>
      <c r="Z324" s="4"/>
    </row>
    <row r="325">
      <c r="A325" s="28"/>
      <c r="B325" s="2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7"/>
      <c r="V325" s="7"/>
      <c r="W325" s="4"/>
      <c r="X325" s="4"/>
      <c r="Y325" s="4"/>
      <c r="Z325" s="4"/>
    </row>
    <row r="326">
      <c r="A326" s="28"/>
      <c r="B326" s="2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7"/>
      <c r="V326" s="7"/>
      <c r="W326" s="4"/>
      <c r="X326" s="4"/>
      <c r="Y326" s="4"/>
      <c r="Z326" s="4"/>
    </row>
    <row r="327">
      <c r="A327" s="28"/>
      <c r="B327" s="2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7"/>
      <c r="V327" s="7"/>
      <c r="W327" s="4"/>
      <c r="X327" s="4"/>
      <c r="Y327" s="4"/>
      <c r="Z327" s="4"/>
    </row>
    <row r="328">
      <c r="A328" s="28"/>
      <c r="B328" s="2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7"/>
      <c r="V328" s="7"/>
      <c r="W328" s="4"/>
      <c r="X328" s="4"/>
      <c r="Y328" s="4"/>
      <c r="Z328" s="4"/>
    </row>
    <row r="329">
      <c r="A329" s="28"/>
      <c r="B329" s="2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7"/>
      <c r="V329" s="7"/>
      <c r="W329" s="4"/>
      <c r="X329" s="4"/>
      <c r="Y329" s="4"/>
      <c r="Z329" s="4"/>
    </row>
    <row r="330">
      <c r="A330" s="28"/>
      <c r="B330" s="2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7"/>
      <c r="V330" s="7"/>
      <c r="W330" s="4"/>
      <c r="X330" s="4"/>
      <c r="Y330" s="4"/>
      <c r="Z330" s="4"/>
    </row>
    <row r="331">
      <c r="A331" s="28"/>
      <c r="B331" s="2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7"/>
      <c r="V331" s="7"/>
      <c r="W331" s="4"/>
      <c r="X331" s="4"/>
      <c r="Y331" s="4"/>
      <c r="Z331" s="4"/>
    </row>
    <row r="332">
      <c r="A332" s="28"/>
      <c r="B332" s="2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7"/>
      <c r="V332" s="7"/>
      <c r="W332" s="4"/>
      <c r="X332" s="4"/>
      <c r="Y332" s="4"/>
      <c r="Z332" s="4"/>
    </row>
    <row r="333">
      <c r="A333" s="28"/>
      <c r="B333" s="2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7"/>
      <c r="V333" s="7"/>
      <c r="W333" s="4"/>
      <c r="X333" s="4"/>
      <c r="Y333" s="4"/>
      <c r="Z333" s="4"/>
    </row>
    <row r="334">
      <c r="A334" s="28"/>
      <c r="B334" s="2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7"/>
      <c r="V334" s="7"/>
      <c r="W334" s="4"/>
      <c r="X334" s="4"/>
      <c r="Y334" s="4"/>
      <c r="Z334" s="4"/>
    </row>
    <row r="335">
      <c r="A335" s="28"/>
      <c r="B335" s="2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7"/>
      <c r="V335" s="7"/>
      <c r="W335" s="4"/>
      <c r="X335" s="4"/>
      <c r="Y335" s="4"/>
      <c r="Z335" s="4"/>
    </row>
    <row r="336">
      <c r="A336" s="28"/>
      <c r="B336" s="2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7"/>
      <c r="V336" s="7"/>
      <c r="W336" s="4"/>
      <c r="X336" s="4"/>
      <c r="Y336" s="4"/>
      <c r="Z336" s="4"/>
    </row>
    <row r="337">
      <c r="A337" s="28"/>
      <c r="B337" s="2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7"/>
      <c r="V337" s="7"/>
      <c r="W337" s="4"/>
      <c r="X337" s="4"/>
      <c r="Y337" s="4"/>
      <c r="Z337" s="4"/>
    </row>
    <row r="338">
      <c r="A338" s="28"/>
      <c r="B338" s="2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7"/>
      <c r="V338" s="7"/>
      <c r="W338" s="4"/>
      <c r="X338" s="4"/>
      <c r="Y338" s="4"/>
      <c r="Z338" s="4"/>
    </row>
    <row r="339">
      <c r="A339" s="28"/>
      <c r="B339" s="2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7"/>
      <c r="V339" s="7"/>
      <c r="W339" s="4"/>
      <c r="X339" s="4"/>
      <c r="Y339" s="4"/>
      <c r="Z339" s="4"/>
    </row>
    <row r="340">
      <c r="A340" s="28"/>
      <c r="B340" s="2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7"/>
      <c r="V340" s="7"/>
      <c r="W340" s="4"/>
      <c r="X340" s="4"/>
      <c r="Y340" s="4"/>
      <c r="Z340" s="4"/>
    </row>
    <row r="341">
      <c r="A341" s="28"/>
      <c r="B341" s="2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7"/>
      <c r="V341" s="7"/>
      <c r="W341" s="4"/>
      <c r="X341" s="4"/>
      <c r="Y341" s="4"/>
      <c r="Z341" s="4"/>
    </row>
    <row r="342">
      <c r="A342" s="28"/>
      <c r="B342" s="2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7"/>
      <c r="V342" s="7"/>
      <c r="W342" s="4"/>
      <c r="X342" s="4"/>
      <c r="Y342" s="4"/>
      <c r="Z342" s="4"/>
    </row>
    <row r="343">
      <c r="A343" s="28"/>
      <c r="B343" s="2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7"/>
      <c r="V343" s="7"/>
      <c r="W343" s="4"/>
      <c r="X343" s="4"/>
      <c r="Y343" s="4"/>
      <c r="Z343" s="4"/>
    </row>
    <row r="344">
      <c r="A344" s="28"/>
      <c r="B344" s="2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7"/>
      <c r="V344" s="7"/>
      <c r="W344" s="4"/>
      <c r="X344" s="4"/>
      <c r="Y344" s="4"/>
      <c r="Z344" s="4"/>
    </row>
    <row r="345">
      <c r="A345" s="28"/>
      <c r="B345" s="2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7"/>
      <c r="V345" s="7"/>
      <c r="W345" s="4"/>
      <c r="X345" s="4"/>
      <c r="Y345" s="4"/>
      <c r="Z345" s="4"/>
    </row>
    <row r="346">
      <c r="A346" s="28"/>
      <c r="B346" s="2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7"/>
      <c r="V346" s="7"/>
      <c r="W346" s="4"/>
      <c r="X346" s="4"/>
      <c r="Y346" s="4"/>
      <c r="Z346" s="4"/>
    </row>
    <row r="347">
      <c r="A347" s="28"/>
      <c r="B347" s="2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7"/>
      <c r="V347" s="7"/>
      <c r="W347" s="4"/>
      <c r="X347" s="4"/>
      <c r="Y347" s="4"/>
      <c r="Z347" s="4"/>
    </row>
    <row r="348">
      <c r="A348" s="28"/>
      <c r="B348" s="2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7"/>
      <c r="V348" s="7"/>
      <c r="W348" s="4"/>
      <c r="X348" s="4"/>
      <c r="Y348" s="4"/>
      <c r="Z348" s="4"/>
    </row>
    <row r="349">
      <c r="A349" s="28"/>
      <c r="B349" s="2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7"/>
      <c r="V349" s="7"/>
      <c r="W349" s="4"/>
      <c r="X349" s="4"/>
      <c r="Y349" s="4"/>
      <c r="Z349" s="4"/>
    </row>
    <row r="350">
      <c r="A350" s="28"/>
      <c r="B350" s="2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7"/>
      <c r="V350" s="7"/>
      <c r="W350" s="4"/>
      <c r="X350" s="4"/>
      <c r="Y350" s="4"/>
      <c r="Z350" s="4"/>
    </row>
    <row r="351">
      <c r="A351" s="28"/>
      <c r="B351" s="2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7"/>
      <c r="V351" s="7"/>
      <c r="W351" s="4"/>
      <c r="X351" s="4"/>
      <c r="Y351" s="4"/>
      <c r="Z351" s="4"/>
    </row>
    <row r="352">
      <c r="A352" s="28"/>
      <c r="B352" s="2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7"/>
      <c r="V352" s="7"/>
      <c r="W352" s="4"/>
      <c r="X352" s="4"/>
      <c r="Y352" s="4"/>
      <c r="Z352" s="4"/>
    </row>
    <row r="353">
      <c r="A353" s="28"/>
      <c r="B353" s="2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7"/>
      <c r="V353" s="7"/>
      <c r="W353" s="4"/>
      <c r="X353" s="4"/>
      <c r="Y353" s="4"/>
      <c r="Z353" s="4"/>
    </row>
    <row r="354">
      <c r="A354" s="28"/>
      <c r="B354" s="2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7"/>
      <c r="V354" s="7"/>
      <c r="W354" s="4"/>
      <c r="X354" s="4"/>
      <c r="Y354" s="4"/>
      <c r="Z354" s="4"/>
    </row>
    <row r="355">
      <c r="A355" s="28"/>
      <c r="B355" s="2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7"/>
      <c r="V355" s="7"/>
      <c r="W355" s="4"/>
      <c r="X355" s="4"/>
      <c r="Y355" s="4"/>
      <c r="Z355" s="4"/>
    </row>
    <row r="356">
      <c r="A356" s="28"/>
      <c r="B356" s="2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7"/>
      <c r="V356" s="7"/>
      <c r="W356" s="4"/>
      <c r="X356" s="4"/>
      <c r="Y356" s="4"/>
      <c r="Z356" s="4"/>
    </row>
    <row r="357">
      <c r="A357" s="28"/>
      <c r="B357" s="2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7"/>
      <c r="V357" s="7"/>
      <c r="W357" s="4"/>
      <c r="X357" s="4"/>
      <c r="Y357" s="4"/>
      <c r="Z357" s="4"/>
    </row>
    <row r="358">
      <c r="A358" s="28"/>
      <c r="B358" s="2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7"/>
      <c r="V358" s="7"/>
      <c r="W358" s="4"/>
      <c r="X358" s="4"/>
      <c r="Y358" s="4"/>
      <c r="Z358" s="4"/>
    </row>
    <row r="359">
      <c r="A359" s="28"/>
      <c r="B359" s="2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7"/>
      <c r="V359" s="7"/>
      <c r="W359" s="4"/>
      <c r="X359" s="4"/>
      <c r="Y359" s="4"/>
      <c r="Z359" s="4"/>
    </row>
    <row r="360">
      <c r="A360" s="28"/>
      <c r="B360" s="2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7"/>
      <c r="V360" s="7"/>
      <c r="W360" s="4"/>
      <c r="X360" s="4"/>
      <c r="Y360" s="4"/>
      <c r="Z360" s="4"/>
    </row>
    <row r="361">
      <c r="A361" s="28"/>
      <c r="B361" s="2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7"/>
      <c r="V361" s="7"/>
      <c r="W361" s="4"/>
      <c r="X361" s="4"/>
      <c r="Y361" s="4"/>
      <c r="Z361" s="4"/>
    </row>
    <row r="362">
      <c r="A362" s="28"/>
      <c r="B362" s="2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7"/>
      <c r="V362" s="7"/>
      <c r="W362" s="4"/>
      <c r="X362" s="4"/>
      <c r="Y362" s="4"/>
      <c r="Z362" s="4"/>
    </row>
    <row r="363">
      <c r="A363" s="28"/>
      <c r="B363" s="2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7"/>
      <c r="V363" s="7"/>
      <c r="W363" s="4"/>
      <c r="X363" s="4"/>
      <c r="Y363" s="4"/>
      <c r="Z363" s="4"/>
    </row>
    <row r="364">
      <c r="A364" s="28"/>
      <c r="B364" s="2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7"/>
      <c r="V364" s="7"/>
      <c r="W364" s="4"/>
      <c r="X364" s="4"/>
      <c r="Y364" s="4"/>
      <c r="Z364" s="4"/>
    </row>
    <row r="365">
      <c r="A365" s="28"/>
      <c r="B365" s="2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7"/>
      <c r="V365" s="7"/>
      <c r="W365" s="4"/>
      <c r="X365" s="4"/>
      <c r="Y365" s="4"/>
      <c r="Z365" s="4"/>
    </row>
    <row r="366">
      <c r="A366" s="28"/>
      <c r="B366" s="2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7"/>
      <c r="V366" s="7"/>
      <c r="W366" s="4"/>
      <c r="X366" s="4"/>
      <c r="Y366" s="4"/>
      <c r="Z366" s="4"/>
    </row>
    <row r="367">
      <c r="A367" s="28"/>
      <c r="B367" s="2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7"/>
      <c r="V367" s="7"/>
      <c r="W367" s="4"/>
      <c r="X367" s="4"/>
      <c r="Y367" s="4"/>
      <c r="Z367" s="4"/>
    </row>
    <row r="368">
      <c r="A368" s="28"/>
      <c r="B368" s="2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7"/>
      <c r="V368" s="7"/>
      <c r="W368" s="4"/>
      <c r="X368" s="4"/>
      <c r="Y368" s="4"/>
      <c r="Z368" s="4"/>
    </row>
    <row r="369">
      <c r="A369" s="28"/>
      <c r="B369" s="2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7"/>
      <c r="V369" s="7"/>
      <c r="W369" s="4"/>
      <c r="X369" s="4"/>
      <c r="Y369" s="4"/>
      <c r="Z369" s="4"/>
    </row>
    <row r="370">
      <c r="A370" s="28"/>
      <c r="B370" s="2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7"/>
      <c r="V370" s="7"/>
      <c r="W370" s="4"/>
      <c r="X370" s="4"/>
      <c r="Y370" s="4"/>
      <c r="Z370" s="4"/>
    </row>
    <row r="371">
      <c r="A371" s="28"/>
      <c r="B371" s="2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7"/>
      <c r="V371" s="7"/>
      <c r="W371" s="4"/>
      <c r="X371" s="4"/>
      <c r="Y371" s="4"/>
      <c r="Z371" s="4"/>
    </row>
    <row r="372">
      <c r="A372" s="28"/>
      <c r="B372" s="2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7"/>
      <c r="V372" s="7"/>
      <c r="W372" s="4"/>
      <c r="X372" s="4"/>
      <c r="Y372" s="4"/>
      <c r="Z372" s="4"/>
    </row>
    <row r="373">
      <c r="A373" s="28"/>
      <c r="B373" s="2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7"/>
      <c r="V373" s="7"/>
      <c r="W373" s="4"/>
      <c r="X373" s="4"/>
      <c r="Y373" s="4"/>
      <c r="Z373" s="4"/>
    </row>
    <row r="374">
      <c r="A374" s="28"/>
      <c r="B374" s="2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7"/>
      <c r="V374" s="7"/>
      <c r="W374" s="4"/>
      <c r="X374" s="4"/>
      <c r="Y374" s="4"/>
      <c r="Z374" s="4"/>
    </row>
    <row r="375">
      <c r="A375" s="28"/>
      <c r="B375" s="2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7"/>
      <c r="V375" s="7"/>
      <c r="W375" s="4"/>
      <c r="X375" s="4"/>
      <c r="Y375" s="4"/>
      <c r="Z375" s="4"/>
    </row>
    <row r="376">
      <c r="A376" s="28"/>
      <c r="B376" s="2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7"/>
      <c r="V376" s="7"/>
      <c r="W376" s="4"/>
      <c r="X376" s="4"/>
      <c r="Y376" s="4"/>
      <c r="Z376" s="4"/>
    </row>
    <row r="377">
      <c r="A377" s="28"/>
      <c r="B377" s="2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7"/>
      <c r="V377" s="7"/>
      <c r="W377" s="4"/>
      <c r="X377" s="4"/>
      <c r="Y377" s="4"/>
      <c r="Z377" s="4"/>
    </row>
    <row r="378">
      <c r="A378" s="28"/>
      <c r="B378" s="2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7"/>
      <c r="V378" s="7"/>
      <c r="W378" s="4"/>
      <c r="X378" s="4"/>
      <c r="Y378" s="4"/>
      <c r="Z378" s="4"/>
    </row>
    <row r="379">
      <c r="A379" s="28"/>
      <c r="B379" s="2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7"/>
      <c r="V379" s="7"/>
      <c r="W379" s="4"/>
      <c r="X379" s="4"/>
      <c r="Y379" s="4"/>
      <c r="Z379" s="4"/>
    </row>
    <row r="380">
      <c r="A380" s="28"/>
      <c r="B380" s="2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7"/>
      <c r="V380" s="7"/>
      <c r="W380" s="4"/>
      <c r="X380" s="4"/>
      <c r="Y380" s="4"/>
      <c r="Z380" s="4"/>
    </row>
    <row r="381">
      <c r="A381" s="28"/>
      <c r="B381" s="2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7"/>
      <c r="V381" s="7"/>
      <c r="W381" s="4"/>
      <c r="X381" s="4"/>
      <c r="Y381" s="4"/>
      <c r="Z381" s="4"/>
    </row>
    <row r="382">
      <c r="A382" s="28"/>
      <c r="B382" s="2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7"/>
      <c r="V382" s="7"/>
      <c r="W382" s="4"/>
      <c r="X382" s="4"/>
      <c r="Y382" s="4"/>
      <c r="Z382" s="4"/>
    </row>
    <row r="383">
      <c r="A383" s="28"/>
      <c r="B383" s="2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7"/>
      <c r="V383" s="7"/>
      <c r="W383" s="4"/>
      <c r="X383" s="4"/>
      <c r="Y383" s="4"/>
      <c r="Z383" s="4"/>
    </row>
    <row r="384">
      <c r="A384" s="28"/>
      <c r="B384" s="2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7"/>
      <c r="V384" s="7"/>
      <c r="W384" s="4"/>
      <c r="X384" s="4"/>
      <c r="Y384" s="4"/>
      <c r="Z384" s="4"/>
    </row>
    <row r="385">
      <c r="A385" s="28"/>
      <c r="B385" s="2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7"/>
      <c r="V385" s="7"/>
      <c r="W385" s="4"/>
      <c r="X385" s="4"/>
      <c r="Y385" s="4"/>
      <c r="Z385" s="4"/>
    </row>
    <row r="386">
      <c r="A386" s="28"/>
      <c r="B386" s="2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7"/>
      <c r="V386" s="7"/>
      <c r="W386" s="4"/>
      <c r="X386" s="4"/>
      <c r="Y386" s="4"/>
      <c r="Z386" s="4"/>
    </row>
    <row r="387">
      <c r="A387" s="28"/>
      <c r="B387" s="2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7"/>
      <c r="V387" s="7"/>
      <c r="W387" s="4"/>
      <c r="X387" s="4"/>
      <c r="Y387" s="4"/>
      <c r="Z387" s="4"/>
    </row>
    <row r="388">
      <c r="A388" s="28"/>
      <c r="B388" s="2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7"/>
      <c r="V388" s="7"/>
      <c r="W388" s="4"/>
      <c r="X388" s="4"/>
      <c r="Y388" s="4"/>
      <c r="Z388" s="4"/>
    </row>
    <row r="389">
      <c r="A389" s="28"/>
      <c r="B389" s="2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7"/>
      <c r="V389" s="7"/>
      <c r="W389" s="4"/>
      <c r="X389" s="4"/>
      <c r="Y389" s="4"/>
      <c r="Z389" s="4"/>
    </row>
    <row r="390">
      <c r="A390" s="28"/>
      <c r="B390" s="2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7"/>
      <c r="V390" s="7"/>
      <c r="W390" s="4"/>
      <c r="X390" s="4"/>
      <c r="Y390" s="4"/>
      <c r="Z390" s="4"/>
    </row>
    <row r="391">
      <c r="A391" s="28"/>
      <c r="B391" s="2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7"/>
      <c r="V391" s="7"/>
      <c r="W391" s="4"/>
      <c r="X391" s="4"/>
      <c r="Y391" s="4"/>
      <c r="Z391" s="4"/>
    </row>
    <row r="392">
      <c r="A392" s="28"/>
      <c r="B392" s="2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7"/>
      <c r="V392" s="7"/>
      <c r="W392" s="4"/>
      <c r="X392" s="4"/>
      <c r="Y392" s="4"/>
      <c r="Z392" s="4"/>
    </row>
    <row r="393">
      <c r="A393" s="28"/>
      <c r="B393" s="2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7"/>
      <c r="V393" s="7"/>
      <c r="W393" s="4"/>
      <c r="X393" s="4"/>
      <c r="Y393" s="4"/>
      <c r="Z393" s="4"/>
    </row>
    <row r="394">
      <c r="A394" s="28"/>
      <c r="B394" s="2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7"/>
      <c r="V394" s="7"/>
      <c r="W394" s="4"/>
      <c r="X394" s="4"/>
      <c r="Y394" s="4"/>
      <c r="Z394" s="4"/>
    </row>
    <row r="395">
      <c r="A395" s="28"/>
      <c r="B395" s="2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7"/>
      <c r="V395" s="7"/>
      <c r="W395" s="4"/>
      <c r="X395" s="4"/>
      <c r="Y395" s="4"/>
      <c r="Z395" s="4"/>
    </row>
    <row r="396">
      <c r="A396" s="28"/>
      <c r="B396" s="2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7"/>
      <c r="V396" s="7"/>
      <c r="W396" s="4"/>
      <c r="X396" s="4"/>
      <c r="Y396" s="4"/>
      <c r="Z396" s="4"/>
    </row>
    <row r="397">
      <c r="A397" s="28"/>
      <c r="B397" s="2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7"/>
      <c r="V397" s="7"/>
      <c r="W397" s="4"/>
      <c r="X397" s="4"/>
      <c r="Y397" s="4"/>
      <c r="Z397" s="4"/>
    </row>
    <row r="398">
      <c r="A398" s="28"/>
      <c r="B398" s="2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7"/>
      <c r="V398" s="7"/>
      <c r="W398" s="4"/>
      <c r="X398" s="4"/>
      <c r="Y398" s="4"/>
      <c r="Z398" s="4"/>
    </row>
    <row r="399">
      <c r="A399" s="28"/>
      <c r="B399" s="2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7"/>
      <c r="V399" s="7"/>
      <c r="W399" s="4"/>
      <c r="X399" s="4"/>
      <c r="Y399" s="4"/>
      <c r="Z399" s="4"/>
    </row>
    <row r="400">
      <c r="A400" s="28"/>
      <c r="B400" s="2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7"/>
      <c r="V400" s="7"/>
      <c r="W400" s="4"/>
      <c r="X400" s="4"/>
      <c r="Y400" s="4"/>
      <c r="Z400" s="4"/>
    </row>
    <row r="401">
      <c r="A401" s="28"/>
      <c r="B401" s="2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7"/>
      <c r="V401" s="7"/>
      <c r="W401" s="4"/>
      <c r="X401" s="4"/>
      <c r="Y401" s="4"/>
      <c r="Z401" s="4"/>
    </row>
    <row r="402">
      <c r="A402" s="28"/>
      <c r="B402" s="2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7"/>
      <c r="V402" s="7"/>
      <c r="W402" s="4"/>
      <c r="X402" s="4"/>
      <c r="Y402" s="4"/>
      <c r="Z402" s="4"/>
    </row>
    <row r="403">
      <c r="A403" s="28"/>
      <c r="B403" s="2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7"/>
      <c r="V403" s="7"/>
      <c r="W403" s="4"/>
      <c r="X403" s="4"/>
      <c r="Y403" s="4"/>
      <c r="Z403" s="4"/>
    </row>
    <row r="404">
      <c r="A404" s="28"/>
      <c r="B404" s="2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7"/>
      <c r="V404" s="7"/>
      <c r="W404" s="4"/>
      <c r="X404" s="4"/>
      <c r="Y404" s="4"/>
      <c r="Z404" s="4"/>
    </row>
    <row r="405">
      <c r="A405" s="28"/>
      <c r="B405" s="2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7"/>
      <c r="V405" s="7"/>
      <c r="W405" s="4"/>
      <c r="X405" s="4"/>
      <c r="Y405" s="4"/>
      <c r="Z405" s="4"/>
    </row>
    <row r="406">
      <c r="A406" s="28"/>
      <c r="B406" s="2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7"/>
      <c r="V406" s="7"/>
      <c r="W406" s="4"/>
      <c r="X406" s="4"/>
      <c r="Y406" s="4"/>
      <c r="Z406" s="4"/>
    </row>
    <row r="407">
      <c r="A407" s="28"/>
      <c r="B407" s="2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7"/>
      <c r="V407" s="7"/>
      <c r="W407" s="4"/>
      <c r="X407" s="4"/>
      <c r="Y407" s="4"/>
      <c r="Z407" s="4"/>
    </row>
    <row r="408">
      <c r="A408" s="28"/>
      <c r="B408" s="2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7"/>
      <c r="V408" s="7"/>
      <c r="W408" s="4"/>
      <c r="X408" s="4"/>
      <c r="Y408" s="4"/>
      <c r="Z408" s="4"/>
    </row>
    <row r="409">
      <c r="A409" s="28"/>
      <c r="B409" s="2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7"/>
      <c r="V409" s="7"/>
      <c r="W409" s="4"/>
      <c r="X409" s="4"/>
      <c r="Y409" s="4"/>
      <c r="Z409" s="4"/>
    </row>
    <row r="410">
      <c r="A410" s="28"/>
      <c r="B410" s="2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7"/>
      <c r="V410" s="7"/>
      <c r="W410" s="4"/>
      <c r="X410" s="4"/>
      <c r="Y410" s="4"/>
      <c r="Z410" s="4"/>
    </row>
    <row r="411">
      <c r="A411" s="28"/>
      <c r="B411" s="2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7"/>
      <c r="V411" s="7"/>
      <c r="W411" s="4"/>
      <c r="X411" s="4"/>
      <c r="Y411" s="4"/>
      <c r="Z411" s="4"/>
    </row>
    <row r="412">
      <c r="A412" s="28"/>
      <c r="B412" s="2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7"/>
      <c r="V412" s="7"/>
      <c r="W412" s="4"/>
      <c r="X412" s="4"/>
      <c r="Y412" s="4"/>
      <c r="Z412" s="4"/>
    </row>
    <row r="413">
      <c r="A413" s="28"/>
      <c r="B413" s="2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7"/>
      <c r="V413" s="7"/>
      <c r="W413" s="4"/>
      <c r="X413" s="4"/>
      <c r="Y413" s="4"/>
      <c r="Z413" s="4"/>
    </row>
    <row r="414">
      <c r="A414" s="28"/>
      <c r="B414" s="2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7"/>
      <c r="V414" s="7"/>
      <c r="W414" s="4"/>
      <c r="X414" s="4"/>
      <c r="Y414" s="4"/>
      <c r="Z414" s="4"/>
    </row>
    <row r="415">
      <c r="A415" s="28"/>
      <c r="B415" s="2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7"/>
      <c r="V415" s="7"/>
      <c r="W415" s="4"/>
      <c r="X415" s="4"/>
      <c r="Y415" s="4"/>
      <c r="Z415" s="4"/>
    </row>
    <row r="416">
      <c r="A416" s="28"/>
      <c r="B416" s="2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7"/>
      <c r="V416" s="7"/>
      <c r="W416" s="4"/>
      <c r="X416" s="4"/>
      <c r="Y416" s="4"/>
      <c r="Z416" s="4"/>
    </row>
    <row r="417">
      <c r="A417" s="28"/>
      <c r="B417" s="2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7"/>
      <c r="V417" s="7"/>
      <c r="W417" s="4"/>
      <c r="X417" s="4"/>
      <c r="Y417" s="4"/>
      <c r="Z417" s="4"/>
    </row>
    <row r="418">
      <c r="A418" s="28"/>
      <c r="B418" s="2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7"/>
      <c r="V418" s="7"/>
      <c r="W418" s="4"/>
      <c r="X418" s="4"/>
      <c r="Y418" s="4"/>
      <c r="Z418" s="4"/>
    </row>
    <row r="419">
      <c r="A419" s="28"/>
      <c r="B419" s="2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7"/>
      <c r="V419" s="7"/>
      <c r="W419" s="4"/>
      <c r="X419" s="4"/>
      <c r="Y419" s="4"/>
      <c r="Z419" s="4"/>
    </row>
    <row r="420">
      <c r="A420" s="28"/>
      <c r="B420" s="2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7"/>
      <c r="V420" s="7"/>
      <c r="W420" s="4"/>
      <c r="X420" s="4"/>
      <c r="Y420" s="4"/>
      <c r="Z420" s="4"/>
    </row>
    <row r="421">
      <c r="A421" s="28"/>
      <c r="B421" s="2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7"/>
      <c r="V421" s="7"/>
      <c r="W421" s="4"/>
      <c r="X421" s="4"/>
      <c r="Y421" s="4"/>
      <c r="Z421" s="4"/>
    </row>
    <row r="422">
      <c r="A422" s="28"/>
      <c r="B422" s="2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7"/>
      <c r="V422" s="7"/>
      <c r="W422" s="4"/>
      <c r="X422" s="4"/>
      <c r="Y422" s="4"/>
      <c r="Z422" s="4"/>
    </row>
    <row r="423">
      <c r="A423" s="28"/>
      <c r="B423" s="2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7"/>
      <c r="V423" s="7"/>
      <c r="W423" s="4"/>
      <c r="X423" s="4"/>
      <c r="Y423" s="4"/>
      <c r="Z423" s="4"/>
    </row>
    <row r="424">
      <c r="A424" s="28"/>
      <c r="B424" s="2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7"/>
      <c r="V424" s="7"/>
      <c r="W424" s="4"/>
      <c r="X424" s="4"/>
      <c r="Y424" s="4"/>
      <c r="Z424" s="4"/>
    </row>
    <row r="425">
      <c r="A425" s="28"/>
      <c r="B425" s="2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7"/>
      <c r="V425" s="7"/>
      <c r="W425" s="4"/>
      <c r="X425" s="4"/>
      <c r="Y425" s="4"/>
      <c r="Z425" s="4"/>
    </row>
    <row r="426">
      <c r="A426" s="28"/>
      <c r="B426" s="2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7"/>
      <c r="V426" s="7"/>
      <c r="W426" s="4"/>
      <c r="X426" s="4"/>
      <c r="Y426" s="4"/>
      <c r="Z426" s="4"/>
    </row>
    <row r="427">
      <c r="A427" s="28"/>
      <c r="B427" s="2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7"/>
      <c r="V427" s="7"/>
      <c r="W427" s="4"/>
      <c r="X427" s="4"/>
      <c r="Y427" s="4"/>
      <c r="Z427" s="4"/>
    </row>
    <row r="428">
      <c r="A428" s="28"/>
      <c r="B428" s="2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7"/>
      <c r="V428" s="7"/>
      <c r="W428" s="4"/>
      <c r="X428" s="4"/>
      <c r="Y428" s="4"/>
      <c r="Z428" s="4"/>
    </row>
    <row r="429">
      <c r="A429" s="28"/>
      <c r="B429" s="2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7"/>
      <c r="V429" s="7"/>
      <c r="W429" s="4"/>
      <c r="X429" s="4"/>
      <c r="Y429" s="4"/>
      <c r="Z429" s="4"/>
    </row>
    <row r="430">
      <c r="A430" s="28"/>
      <c r="B430" s="2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7"/>
      <c r="V430" s="7"/>
      <c r="W430" s="4"/>
      <c r="X430" s="4"/>
      <c r="Y430" s="4"/>
      <c r="Z430" s="4"/>
    </row>
    <row r="431">
      <c r="A431" s="28"/>
      <c r="B431" s="2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7"/>
      <c r="V431" s="7"/>
      <c r="W431" s="4"/>
      <c r="X431" s="4"/>
      <c r="Y431" s="4"/>
      <c r="Z431" s="4"/>
    </row>
    <row r="432">
      <c r="A432" s="28"/>
      <c r="B432" s="2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7"/>
      <c r="V432" s="7"/>
      <c r="W432" s="4"/>
      <c r="X432" s="4"/>
      <c r="Y432" s="4"/>
      <c r="Z432" s="4"/>
    </row>
    <row r="433">
      <c r="A433" s="28"/>
      <c r="B433" s="2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7"/>
      <c r="V433" s="7"/>
      <c r="W433" s="4"/>
      <c r="X433" s="4"/>
      <c r="Y433" s="4"/>
      <c r="Z433" s="4"/>
    </row>
    <row r="434">
      <c r="A434" s="28"/>
      <c r="B434" s="2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7"/>
      <c r="V434" s="7"/>
      <c r="W434" s="4"/>
      <c r="X434" s="4"/>
      <c r="Y434" s="4"/>
      <c r="Z434" s="4"/>
    </row>
    <row r="435">
      <c r="A435" s="28"/>
      <c r="B435" s="2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7"/>
      <c r="V435" s="7"/>
      <c r="W435" s="4"/>
      <c r="X435" s="4"/>
      <c r="Y435" s="4"/>
      <c r="Z435" s="4"/>
    </row>
    <row r="436">
      <c r="A436" s="28"/>
      <c r="B436" s="2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7"/>
      <c r="V436" s="7"/>
      <c r="W436" s="4"/>
      <c r="X436" s="4"/>
      <c r="Y436" s="4"/>
      <c r="Z436" s="4"/>
    </row>
    <row r="437">
      <c r="A437" s="28"/>
      <c r="B437" s="2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7"/>
      <c r="V437" s="7"/>
      <c r="W437" s="4"/>
      <c r="X437" s="4"/>
      <c r="Y437" s="4"/>
      <c r="Z437" s="4"/>
    </row>
    <row r="438">
      <c r="A438" s="28"/>
      <c r="B438" s="2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7"/>
      <c r="V438" s="7"/>
      <c r="W438" s="4"/>
      <c r="X438" s="4"/>
      <c r="Y438" s="4"/>
      <c r="Z438" s="4"/>
    </row>
    <row r="439">
      <c r="A439" s="28"/>
      <c r="B439" s="2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7"/>
      <c r="V439" s="7"/>
      <c r="W439" s="4"/>
      <c r="X439" s="4"/>
      <c r="Y439" s="4"/>
      <c r="Z439" s="4"/>
    </row>
    <row r="440">
      <c r="A440" s="28"/>
      <c r="B440" s="2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7"/>
      <c r="V440" s="7"/>
      <c r="W440" s="4"/>
      <c r="X440" s="4"/>
      <c r="Y440" s="4"/>
      <c r="Z440" s="4"/>
    </row>
    <row r="441">
      <c r="A441" s="28"/>
      <c r="B441" s="2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7"/>
      <c r="V441" s="7"/>
      <c r="W441" s="4"/>
      <c r="X441" s="4"/>
      <c r="Y441" s="4"/>
      <c r="Z441" s="4"/>
    </row>
    <row r="442">
      <c r="A442" s="28"/>
      <c r="B442" s="2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7"/>
      <c r="V442" s="7"/>
      <c r="W442" s="4"/>
      <c r="X442" s="4"/>
      <c r="Y442" s="4"/>
      <c r="Z442" s="4"/>
    </row>
    <row r="443">
      <c r="A443" s="28"/>
      <c r="B443" s="2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7"/>
      <c r="V443" s="7"/>
      <c r="W443" s="4"/>
      <c r="X443" s="4"/>
      <c r="Y443" s="4"/>
      <c r="Z443" s="4"/>
    </row>
    <row r="444">
      <c r="A444" s="28"/>
      <c r="B444" s="2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7"/>
      <c r="V444" s="7"/>
      <c r="W444" s="4"/>
      <c r="X444" s="4"/>
      <c r="Y444" s="4"/>
      <c r="Z444" s="4"/>
    </row>
    <row r="445">
      <c r="A445" s="28"/>
      <c r="B445" s="2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7"/>
      <c r="V445" s="7"/>
      <c r="W445" s="4"/>
      <c r="X445" s="4"/>
      <c r="Y445" s="4"/>
      <c r="Z445" s="4"/>
    </row>
    <row r="446">
      <c r="A446" s="28"/>
      <c r="B446" s="2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7"/>
      <c r="V446" s="7"/>
      <c r="W446" s="4"/>
      <c r="X446" s="4"/>
      <c r="Y446" s="4"/>
      <c r="Z446" s="4"/>
    </row>
    <row r="447">
      <c r="A447" s="28"/>
      <c r="B447" s="2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7"/>
      <c r="V447" s="7"/>
      <c r="W447" s="4"/>
      <c r="X447" s="4"/>
      <c r="Y447" s="4"/>
      <c r="Z447" s="4"/>
    </row>
    <row r="448">
      <c r="A448" s="28"/>
      <c r="B448" s="2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7"/>
      <c r="V448" s="7"/>
      <c r="W448" s="4"/>
      <c r="X448" s="4"/>
      <c r="Y448" s="4"/>
      <c r="Z448" s="4"/>
    </row>
    <row r="449">
      <c r="A449" s="28"/>
      <c r="B449" s="2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7"/>
      <c r="V449" s="7"/>
      <c r="W449" s="4"/>
      <c r="X449" s="4"/>
      <c r="Y449" s="4"/>
      <c r="Z449" s="4"/>
    </row>
    <row r="450">
      <c r="A450" s="28"/>
      <c r="B450" s="2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7"/>
      <c r="V450" s="7"/>
      <c r="W450" s="4"/>
      <c r="X450" s="4"/>
      <c r="Y450" s="4"/>
      <c r="Z450" s="4"/>
    </row>
    <row r="451">
      <c r="A451" s="28"/>
      <c r="B451" s="2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7"/>
      <c r="V451" s="7"/>
      <c r="W451" s="4"/>
      <c r="X451" s="4"/>
      <c r="Y451" s="4"/>
      <c r="Z451" s="4"/>
    </row>
    <row r="452">
      <c r="A452" s="28"/>
      <c r="B452" s="2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7"/>
      <c r="V452" s="7"/>
      <c r="W452" s="4"/>
      <c r="X452" s="4"/>
      <c r="Y452" s="4"/>
      <c r="Z452" s="4"/>
    </row>
    <row r="453">
      <c r="A453" s="28"/>
      <c r="B453" s="2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7"/>
      <c r="V453" s="7"/>
      <c r="W453" s="4"/>
      <c r="X453" s="4"/>
      <c r="Y453" s="4"/>
      <c r="Z453" s="4"/>
    </row>
    <row r="454">
      <c r="A454" s="28"/>
      <c r="B454" s="2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7"/>
      <c r="V454" s="7"/>
      <c r="W454" s="4"/>
      <c r="X454" s="4"/>
      <c r="Y454" s="4"/>
      <c r="Z454" s="4"/>
    </row>
    <row r="455">
      <c r="A455" s="28"/>
      <c r="B455" s="2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7"/>
      <c r="V455" s="7"/>
      <c r="W455" s="4"/>
      <c r="X455" s="4"/>
      <c r="Y455" s="4"/>
      <c r="Z455" s="4"/>
    </row>
    <row r="456">
      <c r="A456" s="28"/>
      <c r="B456" s="2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7"/>
      <c r="V456" s="7"/>
      <c r="W456" s="4"/>
      <c r="X456" s="4"/>
      <c r="Y456" s="4"/>
      <c r="Z456" s="4"/>
    </row>
    <row r="457">
      <c r="A457" s="28"/>
      <c r="B457" s="2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7"/>
      <c r="V457" s="7"/>
      <c r="W457" s="4"/>
      <c r="X457" s="4"/>
      <c r="Y457" s="4"/>
      <c r="Z457" s="4"/>
    </row>
    <row r="458">
      <c r="A458" s="28"/>
      <c r="B458" s="2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7"/>
      <c r="V458" s="7"/>
      <c r="W458" s="4"/>
      <c r="X458" s="4"/>
      <c r="Y458" s="4"/>
      <c r="Z458" s="4"/>
    </row>
    <row r="459">
      <c r="A459" s="28"/>
      <c r="B459" s="2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7"/>
      <c r="V459" s="7"/>
      <c r="W459" s="4"/>
      <c r="X459" s="4"/>
      <c r="Y459" s="4"/>
      <c r="Z459" s="4"/>
    </row>
    <row r="460">
      <c r="A460" s="28"/>
      <c r="B460" s="2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7"/>
      <c r="V460" s="7"/>
      <c r="W460" s="4"/>
      <c r="X460" s="4"/>
      <c r="Y460" s="4"/>
      <c r="Z460" s="4"/>
    </row>
    <row r="461">
      <c r="A461" s="28"/>
      <c r="B461" s="2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7"/>
      <c r="V461" s="7"/>
      <c r="W461" s="4"/>
      <c r="X461" s="4"/>
      <c r="Y461" s="4"/>
      <c r="Z461" s="4"/>
    </row>
    <row r="462">
      <c r="A462" s="28"/>
      <c r="B462" s="2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7"/>
      <c r="V462" s="7"/>
      <c r="W462" s="4"/>
      <c r="X462" s="4"/>
      <c r="Y462" s="4"/>
      <c r="Z462" s="4"/>
    </row>
    <row r="463">
      <c r="A463" s="28"/>
      <c r="B463" s="2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7"/>
      <c r="V463" s="7"/>
      <c r="W463" s="4"/>
      <c r="X463" s="4"/>
      <c r="Y463" s="4"/>
      <c r="Z463" s="4"/>
    </row>
    <row r="464">
      <c r="A464" s="28"/>
      <c r="B464" s="2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7"/>
      <c r="V464" s="7"/>
      <c r="W464" s="4"/>
      <c r="X464" s="4"/>
      <c r="Y464" s="4"/>
      <c r="Z464" s="4"/>
    </row>
    <row r="465">
      <c r="A465" s="28"/>
      <c r="B465" s="2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7"/>
      <c r="V465" s="7"/>
      <c r="W465" s="4"/>
      <c r="X465" s="4"/>
      <c r="Y465" s="4"/>
      <c r="Z465" s="4"/>
    </row>
    <row r="466">
      <c r="A466" s="28"/>
      <c r="B466" s="2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7"/>
      <c r="V466" s="7"/>
      <c r="W466" s="4"/>
      <c r="X466" s="4"/>
      <c r="Y466" s="4"/>
      <c r="Z466" s="4"/>
    </row>
    <row r="467">
      <c r="A467" s="28"/>
      <c r="B467" s="2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7"/>
      <c r="V467" s="7"/>
      <c r="W467" s="4"/>
      <c r="X467" s="4"/>
      <c r="Y467" s="4"/>
      <c r="Z467" s="4"/>
    </row>
    <row r="468">
      <c r="A468" s="28"/>
      <c r="B468" s="2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7"/>
      <c r="V468" s="7"/>
      <c r="W468" s="4"/>
      <c r="X468" s="4"/>
      <c r="Y468" s="4"/>
      <c r="Z468" s="4"/>
    </row>
    <row r="469">
      <c r="A469" s="28"/>
      <c r="B469" s="2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7"/>
      <c r="V469" s="7"/>
      <c r="W469" s="4"/>
      <c r="X469" s="4"/>
      <c r="Y469" s="4"/>
      <c r="Z469" s="4"/>
    </row>
    <row r="470">
      <c r="A470" s="28"/>
      <c r="B470" s="2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7"/>
      <c r="V470" s="7"/>
      <c r="W470" s="4"/>
      <c r="X470" s="4"/>
      <c r="Y470" s="4"/>
      <c r="Z470" s="4"/>
    </row>
    <row r="471">
      <c r="A471" s="28"/>
      <c r="B471" s="2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7"/>
      <c r="V471" s="7"/>
      <c r="W471" s="4"/>
      <c r="X471" s="4"/>
      <c r="Y471" s="4"/>
      <c r="Z471" s="4"/>
    </row>
    <row r="472">
      <c r="A472" s="28"/>
      <c r="B472" s="2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7"/>
      <c r="V472" s="7"/>
      <c r="W472" s="4"/>
      <c r="X472" s="4"/>
      <c r="Y472" s="4"/>
      <c r="Z472" s="4"/>
    </row>
    <row r="473">
      <c r="A473" s="28"/>
      <c r="B473" s="2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7"/>
      <c r="V473" s="7"/>
      <c r="W473" s="4"/>
      <c r="X473" s="4"/>
      <c r="Y473" s="4"/>
      <c r="Z473" s="4"/>
    </row>
    <row r="474">
      <c r="A474" s="28"/>
      <c r="B474" s="2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7"/>
      <c r="V474" s="7"/>
      <c r="W474" s="4"/>
      <c r="X474" s="4"/>
      <c r="Y474" s="4"/>
      <c r="Z474" s="4"/>
    </row>
    <row r="475">
      <c r="A475" s="28"/>
      <c r="B475" s="2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7"/>
      <c r="V475" s="7"/>
      <c r="W475" s="4"/>
      <c r="X475" s="4"/>
      <c r="Y475" s="4"/>
      <c r="Z475" s="4"/>
    </row>
    <row r="476">
      <c r="A476" s="28"/>
      <c r="B476" s="2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7"/>
      <c r="V476" s="7"/>
      <c r="W476" s="4"/>
      <c r="X476" s="4"/>
      <c r="Y476" s="4"/>
      <c r="Z476" s="4"/>
    </row>
    <row r="477">
      <c r="A477" s="28"/>
      <c r="B477" s="2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7"/>
      <c r="V477" s="7"/>
      <c r="W477" s="4"/>
      <c r="X477" s="4"/>
      <c r="Y477" s="4"/>
      <c r="Z477" s="4"/>
    </row>
    <row r="478">
      <c r="A478" s="28"/>
      <c r="B478" s="2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7"/>
      <c r="V478" s="7"/>
      <c r="W478" s="4"/>
      <c r="X478" s="4"/>
      <c r="Y478" s="4"/>
      <c r="Z478" s="4"/>
    </row>
    <row r="479">
      <c r="A479" s="28"/>
      <c r="B479" s="2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7"/>
      <c r="V479" s="7"/>
      <c r="W479" s="4"/>
      <c r="X479" s="4"/>
      <c r="Y479" s="4"/>
      <c r="Z479" s="4"/>
    </row>
    <row r="480">
      <c r="A480" s="28"/>
      <c r="B480" s="2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7"/>
      <c r="V480" s="7"/>
      <c r="W480" s="4"/>
      <c r="X480" s="4"/>
      <c r="Y480" s="4"/>
      <c r="Z480" s="4"/>
    </row>
    <row r="481">
      <c r="A481" s="28"/>
      <c r="B481" s="2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7"/>
      <c r="V481" s="7"/>
      <c r="W481" s="4"/>
      <c r="X481" s="4"/>
      <c r="Y481" s="4"/>
      <c r="Z481" s="4"/>
    </row>
    <row r="482">
      <c r="A482" s="28"/>
      <c r="B482" s="2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7"/>
      <c r="V482" s="7"/>
      <c r="W482" s="4"/>
      <c r="X482" s="4"/>
      <c r="Y482" s="4"/>
      <c r="Z482" s="4"/>
    </row>
    <row r="483">
      <c r="A483" s="28"/>
      <c r="B483" s="2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7"/>
      <c r="V483" s="7"/>
      <c r="W483" s="4"/>
      <c r="X483" s="4"/>
      <c r="Y483" s="4"/>
      <c r="Z483" s="4"/>
    </row>
    <row r="484">
      <c r="A484" s="28"/>
      <c r="B484" s="2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7"/>
      <c r="V484" s="7"/>
      <c r="W484" s="4"/>
      <c r="X484" s="4"/>
      <c r="Y484" s="4"/>
      <c r="Z484" s="4"/>
    </row>
    <row r="485">
      <c r="A485" s="28"/>
      <c r="B485" s="2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7"/>
      <c r="V485" s="7"/>
      <c r="W485" s="4"/>
      <c r="X485" s="4"/>
      <c r="Y485" s="4"/>
      <c r="Z485" s="4"/>
    </row>
    <row r="486">
      <c r="A486" s="28"/>
      <c r="B486" s="2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7"/>
      <c r="V486" s="7"/>
      <c r="W486" s="4"/>
      <c r="X486" s="4"/>
      <c r="Y486" s="4"/>
      <c r="Z486" s="4"/>
    </row>
    <row r="487">
      <c r="A487" s="28"/>
      <c r="B487" s="2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7"/>
      <c r="V487" s="7"/>
      <c r="W487" s="4"/>
      <c r="X487" s="4"/>
      <c r="Y487" s="4"/>
      <c r="Z487" s="4"/>
    </row>
    <row r="488">
      <c r="A488" s="28"/>
      <c r="B488" s="2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7"/>
      <c r="V488" s="7"/>
      <c r="W488" s="4"/>
      <c r="X488" s="4"/>
      <c r="Y488" s="4"/>
      <c r="Z488" s="4"/>
    </row>
    <row r="489">
      <c r="A489" s="28"/>
      <c r="B489" s="2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7"/>
      <c r="V489" s="7"/>
      <c r="W489" s="4"/>
      <c r="X489" s="4"/>
      <c r="Y489" s="4"/>
      <c r="Z489" s="4"/>
    </row>
    <row r="490">
      <c r="A490" s="28"/>
      <c r="B490" s="2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7"/>
      <c r="V490" s="7"/>
      <c r="W490" s="4"/>
      <c r="X490" s="4"/>
      <c r="Y490" s="4"/>
      <c r="Z490" s="4"/>
    </row>
    <row r="491">
      <c r="A491" s="28"/>
      <c r="B491" s="2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7"/>
      <c r="V491" s="7"/>
      <c r="W491" s="4"/>
      <c r="X491" s="4"/>
      <c r="Y491" s="4"/>
      <c r="Z491" s="4"/>
    </row>
    <row r="492">
      <c r="A492" s="28"/>
      <c r="B492" s="2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7"/>
      <c r="V492" s="7"/>
      <c r="W492" s="4"/>
      <c r="X492" s="4"/>
      <c r="Y492" s="4"/>
      <c r="Z492" s="4"/>
    </row>
    <row r="493">
      <c r="A493" s="28"/>
      <c r="B493" s="2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7"/>
      <c r="V493" s="7"/>
      <c r="W493" s="4"/>
      <c r="X493" s="4"/>
      <c r="Y493" s="4"/>
      <c r="Z493" s="4"/>
    </row>
    <row r="494">
      <c r="A494" s="28"/>
      <c r="B494" s="2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7"/>
      <c r="V494" s="7"/>
      <c r="W494" s="4"/>
      <c r="X494" s="4"/>
      <c r="Y494" s="4"/>
      <c r="Z494" s="4"/>
    </row>
    <row r="495">
      <c r="A495" s="28"/>
      <c r="B495" s="2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7"/>
      <c r="V495" s="7"/>
      <c r="W495" s="4"/>
      <c r="X495" s="4"/>
      <c r="Y495" s="4"/>
      <c r="Z495" s="4"/>
    </row>
    <row r="496">
      <c r="A496" s="28"/>
      <c r="B496" s="2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7"/>
      <c r="V496" s="7"/>
      <c r="W496" s="4"/>
      <c r="X496" s="4"/>
      <c r="Y496" s="4"/>
      <c r="Z496" s="4"/>
    </row>
    <row r="497">
      <c r="A497" s="28"/>
      <c r="B497" s="2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7"/>
      <c r="V497" s="7"/>
      <c r="W497" s="4"/>
      <c r="X497" s="4"/>
      <c r="Y497" s="4"/>
      <c r="Z497" s="4"/>
    </row>
    <row r="498">
      <c r="A498" s="28"/>
      <c r="B498" s="2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7"/>
      <c r="V498" s="7"/>
      <c r="W498" s="4"/>
      <c r="X498" s="4"/>
      <c r="Y498" s="4"/>
      <c r="Z498" s="4"/>
    </row>
    <row r="499">
      <c r="A499" s="28"/>
      <c r="B499" s="2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7"/>
      <c r="V499" s="7"/>
      <c r="W499" s="4"/>
      <c r="X499" s="4"/>
      <c r="Y499" s="4"/>
      <c r="Z499" s="4"/>
    </row>
    <row r="500">
      <c r="A500" s="28"/>
      <c r="B500" s="2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7"/>
      <c r="V500" s="7"/>
      <c r="W500" s="4"/>
      <c r="X500" s="4"/>
      <c r="Y500" s="4"/>
      <c r="Z500" s="4"/>
    </row>
    <row r="501">
      <c r="A501" s="28"/>
      <c r="B501" s="2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7"/>
      <c r="V501" s="7"/>
      <c r="W501" s="4"/>
      <c r="X501" s="4"/>
      <c r="Y501" s="4"/>
      <c r="Z501" s="4"/>
    </row>
    <row r="502">
      <c r="A502" s="28"/>
      <c r="B502" s="2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7"/>
      <c r="V502" s="7"/>
      <c r="W502" s="4"/>
      <c r="X502" s="4"/>
      <c r="Y502" s="4"/>
      <c r="Z502" s="4"/>
    </row>
    <row r="503">
      <c r="A503" s="28"/>
      <c r="B503" s="2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7"/>
      <c r="V503" s="7"/>
      <c r="W503" s="4"/>
      <c r="X503" s="4"/>
      <c r="Y503" s="4"/>
      <c r="Z503" s="4"/>
    </row>
    <row r="504">
      <c r="A504" s="28"/>
      <c r="B504" s="2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7"/>
      <c r="V504" s="7"/>
      <c r="W504" s="4"/>
      <c r="X504" s="4"/>
      <c r="Y504" s="4"/>
      <c r="Z504" s="4"/>
    </row>
    <row r="505">
      <c r="A505" s="28"/>
      <c r="B505" s="2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7"/>
      <c r="V505" s="7"/>
      <c r="W505" s="4"/>
      <c r="X505" s="4"/>
      <c r="Y505" s="4"/>
      <c r="Z505" s="4"/>
    </row>
    <row r="506">
      <c r="A506" s="28"/>
      <c r="B506" s="2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7"/>
      <c r="V506" s="7"/>
      <c r="W506" s="4"/>
      <c r="X506" s="4"/>
      <c r="Y506" s="4"/>
      <c r="Z506" s="4"/>
    </row>
    <row r="507">
      <c r="A507" s="28"/>
      <c r="B507" s="2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7"/>
      <c r="V507" s="7"/>
      <c r="W507" s="4"/>
      <c r="X507" s="4"/>
      <c r="Y507" s="4"/>
      <c r="Z507" s="4"/>
    </row>
    <row r="508">
      <c r="A508" s="28"/>
      <c r="B508" s="2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7"/>
      <c r="V508" s="7"/>
      <c r="W508" s="4"/>
      <c r="X508" s="4"/>
      <c r="Y508" s="4"/>
      <c r="Z508" s="4"/>
    </row>
    <row r="509">
      <c r="A509" s="28"/>
      <c r="B509" s="2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7"/>
      <c r="V509" s="7"/>
      <c r="W509" s="4"/>
      <c r="X509" s="4"/>
      <c r="Y509" s="4"/>
      <c r="Z509" s="4"/>
    </row>
    <row r="510">
      <c r="A510" s="28"/>
      <c r="B510" s="2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7"/>
      <c r="V510" s="7"/>
      <c r="W510" s="4"/>
      <c r="X510" s="4"/>
      <c r="Y510" s="4"/>
      <c r="Z510" s="4"/>
    </row>
    <row r="511">
      <c r="A511" s="28"/>
      <c r="B511" s="2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7"/>
      <c r="V511" s="7"/>
      <c r="W511" s="4"/>
      <c r="X511" s="4"/>
      <c r="Y511" s="4"/>
      <c r="Z511" s="4"/>
    </row>
    <row r="512">
      <c r="A512" s="28"/>
      <c r="B512" s="2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7"/>
      <c r="V512" s="7"/>
      <c r="W512" s="4"/>
      <c r="X512" s="4"/>
      <c r="Y512" s="4"/>
      <c r="Z512" s="4"/>
    </row>
    <row r="513">
      <c r="A513" s="28"/>
      <c r="B513" s="2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7"/>
      <c r="V513" s="7"/>
      <c r="W513" s="4"/>
      <c r="X513" s="4"/>
      <c r="Y513" s="4"/>
      <c r="Z513" s="4"/>
    </row>
    <row r="514">
      <c r="A514" s="28"/>
      <c r="B514" s="2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7"/>
      <c r="V514" s="7"/>
      <c r="W514" s="4"/>
      <c r="X514" s="4"/>
      <c r="Y514" s="4"/>
      <c r="Z514" s="4"/>
    </row>
    <row r="515">
      <c r="A515" s="28"/>
      <c r="B515" s="2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7"/>
      <c r="V515" s="7"/>
      <c r="W515" s="4"/>
      <c r="X515" s="4"/>
      <c r="Y515" s="4"/>
      <c r="Z515" s="4"/>
    </row>
    <row r="516">
      <c r="A516" s="28"/>
      <c r="B516" s="2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7"/>
      <c r="V516" s="7"/>
      <c r="W516" s="4"/>
      <c r="X516" s="4"/>
      <c r="Y516" s="4"/>
      <c r="Z516" s="4"/>
    </row>
    <row r="517">
      <c r="A517" s="28"/>
      <c r="B517" s="2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7"/>
      <c r="V517" s="7"/>
      <c r="W517" s="4"/>
      <c r="X517" s="4"/>
      <c r="Y517" s="4"/>
      <c r="Z517" s="4"/>
    </row>
    <row r="518">
      <c r="A518" s="28"/>
      <c r="B518" s="2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7"/>
      <c r="V518" s="7"/>
      <c r="W518" s="4"/>
      <c r="X518" s="4"/>
      <c r="Y518" s="4"/>
      <c r="Z518" s="4"/>
    </row>
    <row r="519">
      <c r="A519" s="28"/>
      <c r="B519" s="2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7"/>
      <c r="V519" s="7"/>
      <c r="W519" s="4"/>
      <c r="X519" s="4"/>
      <c r="Y519" s="4"/>
      <c r="Z519" s="4"/>
    </row>
    <row r="520">
      <c r="A520" s="28"/>
      <c r="B520" s="2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7"/>
      <c r="V520" s="7"/>
      <c r="W520" s="4"/>
      <c r="X520" s="4"/>
      <c r="Y520" s="4"/>
      <c r="Z520" s="4"/>
    </row>
    <row r="521">
      <c r="A521" s="28"/>
      <c r="B521" s="2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7"/>
      <c r="V521" s="7"/>
      <c r="W521" s="4"/>
      <c r="X521" s="4"/>
      <c r="Y521" s="4"/>
      <c r="Z521" s="4"/>
    </row>
    <row r="522">
      <c r="A522" s="28"/>
      <c r="B522" s="2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7"/>
      <c r="V522" s="7"/>
      <c r="W522" s="4"/>
      <c r="X522" s="4"/>
      <c r="Y522" s="4"/>
      <c r="Z522" s="4"/>
    </row>
    <row r="523">
      <c r="A523" s="28"/>
      <c r="B523" s="2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7"/>
      <c r="V523" s="7"/>
      <c r="W523" s="4"/>
      <c r="X523" s="4"/>
      <c r="Y523" s="4"/>
      <c r="Z523" s="4"/>
    </row>
    <row r="524">
      <c r="A524" s="28"/>
      <c r="B524" s="2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7"/>
      <c r="V524" s="7"/>
      <c r="W524" s="4"/>
      <c r="X524" s="4"/>
      <c r="Y524" s="4"/>
      <c r="Z524" s="4"/>
    </row>
    <row r="525">
      <c r="A525" s="28"/>
      <c r="B525" s="2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7"/>
      <c r="V525" s="7"/>
      <c r="W525" s="4"/>
      <c r="X525" s="4"/>
      <c r="Y525" s="4"/>
      <c r="Z525" s="4"/>
    </row>
    <row r="526">
      <c r="A526" s="28"/>
      <c r="B526" s="2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7"/>
      <c r="V526" s="7"/>
      <c r="W526" s="4"/>
      <c r="X526" s="4"/>
      <c r="Y526" s="4"/>
      <c r="Z526" s="4"/>
    </row>
    <row r="527">
      <c r="A527" s="28"/>
      <c r="B527" s="2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7"/>
      <c r="V527" s="7"/>
      <c r="W527" s="4"/>
      <c r="X527" s="4"/>
      <c r="Y527" s="4"/>
      <c r="Z527" s="4"/>
    </row>
    <row r="528">
      <c r="A528" s="28"/>
      <c r="B528" s="2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7"/>
      <c r="V528" s="7"/>
      <c r="W528" s="4"/>
      <c r="X528" s="4"/>
      <c r="Y528" s="4"/>
      <c r="Z528" s="4"/>
    </row>
    <row r="529">
      <c r="A529" s="28"/>
      <c r="B529" s="2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7"/>
      <c r="V529" s="7"/>
      <c r="W529" s="4"/>
      <c r="X529" s="4"/>
      <c r="Y529" s="4"/>
      <c r="Z529" s="4"/>
    </row>
    <row r="530">
      <c r="A530" s="28"/>
      <c r="B530" s="2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7"/>
      <c r="V530" s="7"/>
      <c r="W530" s="4"/>
      <c r="X530" s="4"/>
      <c r="Y530" s="4"/>
      <c r="Z530" s="4"/>
    </row>
    <row r="531">
      <c r="A531" s="28"/>
      <c r="B531" s="2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7"/>
      <c r="V531" s="7"/>
      <c r="W531" s="4"/>
      <c r="X531" s="4"/>
      <c r="Y531" s="4"/>
      <c r="Z531" s="4"/>
    </row>
    <row r="532">
      <c r="A532" s="28"/>
      <c r="B532" s="2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7"/>
      <c r="V532" s="7"/>
      <c r="W532" s="4"/>
      <c r="X532" s="4"/>
      <c r="Y532" s="4"/>
      <c r="Z532" s="4"/>
    </row>
    <row r="533">
      <c r="A533" s="28"/>
      <c r="B533" s="2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7"/>
      <c r="V533" s="7"/>
      <c r="W533" s="4"/>
      <c r="X533" s="4"/>
      <c r="Y533" s="4"/>
      <c r="Z533" s="4"/>
    </row>
    <row r="534">
      <c r="A534" s="28"/>
      <c r="B534" s="2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7"/>
      <c r="V534" s="7"/>
      <c r="W534" s="4"/>
      <c r="X534" s="4"/>
      <c r="Y534" s="4"/>
      <c r="Z534" s="4"/>
    </row>
    <row r="535">
      <c r="A535" s="28"/>
      <c r="B535" s="2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7"/>
      <c r="V535" s="7"/>
      <c r="W535" s="4"/>
      <c r="X535" s="4"/>
      <c r="Y535" s="4"/>
      <c r="Z535" s="4"/>
    </row>
    <row r="536">
      <c r="A536" s="28"/>
      <c r="B536" s="2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7"/>
      <c r="V536" s="7"/>
      <c r="W536" s="4"/>
      <c r="X536" s="4"/>
      <c r="Y536" s="4"/>
      <c r="Z536" s="4"/>
    </row>
    <row r="537">
      <c r="A537" s="28"/>
      <c r="B537" s="2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7"/>
      <c r="V537" s="7"/>
      <c r="W537" s="4"/>
      <c r="X537" s="4"/>
      <c r="Y537" s="4"/>
      <c r="Z537" s="4"/>
    </row>
    <row r="538">
      <c r="A538" s="28"/>
      <c r="B538" s="2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7"/>
      <c r="V538" s="7"/>
      <c r="W538" s="4"/>
      <c r="X538" s="4"/>
      <c r="Y538" s="4"/>
      <c r="Z538" s="4"/>
    </row>
    <row r="539">
      <c r="A539" s="28"/>
      <c r="B539" s="2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7"/>
      <c r="V539" s="7"/>
      <c r="W539" s="4"/>
      <c r="X539" s="4"/>
      <c r="Y539" s="4"/>
      <c r="Z539" s="4"/>
    </row>
    <row r="540">
      <c r="A540" s="28"/>
      <c r="B540" s="2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7"/>
      <c r="V540" s="7"/>
      <c r="W540" s="4"/>
      <c r="X540" s="4"/>
      <c r="Y540" s="4"/>
      <c r="Z540" s="4"/>
    </row>
    <row r="541">
      <c r="A541" s="28"/>
      <c r="B541" s="2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7"/>
      <c r="V541" s="7"/>
      <c r="W541" s="4"/>
      <c r="X541" s="4"/>
      <c r="Y541" s="4"/>
      <c r="Z541" s="4"/>
    </row>
    <row r="542">
      <c r="A542" s="28"/>
      <c r="B542" s="2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7"/>
      <c r="V542" s="7"/>
      <c r="W542" s="4"/>
      <c r="X542" s="4"/>
      <c r="Y542" s="4"/>
      <c r="Z542" s="4"/>
    </row>
    <row r="543">
      <c r="A543" s="28"/>
      <c r="B543" s="2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7"/>
      <c r="V543" s="7"/>
      <c r="W543" s="4"/>
      <c r="X543" s="4"/>
      <c r="Y543" s="4"/>
      <c r="Z543" s="4"/>
    </row>
    <row r="544">
      <c r="A544" s="28"/>
      <c r="B544" s="2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7"/>
      <c r="V544" s="7"/>
      <c r="W544" s="4"/>
      <c r="X544" s="4"/>
      <c r="Y544" s="4"/>
      <c r="Z544" s="4"/>
    </row>
    <row r="545">
      <c r="A545" s="28"/>
      <c r="B545" s="2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7"/>
      <c r="V545" s="7"/>
      <c r="W545" s="4"/>
      <c r="X545" s="4"/>
      <c r="Y545" s="4"/>
      <c r="Z545" s="4"/>
    </row>
    <row r="546">
      <c r="A546" s="28"/>
      <c r="B546" s="2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7"/>
      <c r="V546" s="7"/>
      <c r="W546" s="4"/>
      <c r="X546" s="4"/>
      <c r="Y546" s="4"/>
      <c r="Z546" s="4"/>
    </row>
    <row r="547">
      <c r="A547" s="28"/>
      <c r="B547" s="2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7"/>
      <c r="V547" s="7"/>
      <c r="W547" s="4"/>
      <c r="X547" s="4"/>
      <c r="Y547" s="4"/>
      <c r="Z547" s="4"/>
    </row>
    <row r="548">
      <c r="A548" s="28"/>
      <c r="B548" s="2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7"/>
      <c r="V548" s="7"/>
      <c r="W548" s="4"/>
      <c r="X548" s="4"/>
      <c r="Y548" s="4"/>
      <c r="Z548" s="4"/>
    </row>
    <row r="549">
      <c r="A549" s="28"/>
      <c r="B549" s="2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7"/>
      <c r="V549" s="7"/>
      <c r="W549" s="4"/>
      <c r="X549" s="4"/>
      <c r="Y549" s="4"/>
      <c r="Z549" s="4"/>
    </row>
    <row r="550">
      <c r="A550" s="28"/>
      <c r="B550" s="2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7"/>
      <c r="V550" s="7"/>
      <c r="W550" s="4"/>
      <c r="X550" s="4"/>
      <c r="Y550" s="4"/>
      <c r="Z550" s="4"/>
    </row>
    <row r="551">
      <c r="A551" s="28"/>
      <c r="B551" s="2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7"/>
      <c r="V551" s="7"/>
      <c r="W551" s="4"/>
      <c r="X551" s="4"/>
      <c r="Y551" s="4"/>
      <c r="Z551" s="4"/>
    </row>
    <row r="552">
      <c r="A552" s="28"/>
      <c r="B552" s="2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7"/>
      <c r="V552" s="7"/>
      <c r="W552" s="4"/>
      <c r="X552" s="4"/>
      <c r="Y552" s="4"/>
      <c r="Z552" s="4"/>
    </row>
    <row r="553">
      <c r="A553" s="28"/>
      <c r="B553" s="2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7"/>
      <c r="V553" s="7"/>
      <c r="W553" s="4"/>
      <c r="X553" s="4"/>
      <c r="Y553" s="4"/>
      <c r="Z553" s="4"/>
    </row>
    <row r="554">
      <c r="A554" s="28"/>
      <c r="B554" s="2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7"/>
      <c r="V554" s="7"/>
      <c r="W554" s="4"/>
      <c r="X554" s="4"/>
      <c r="Y554" s="4"/>
      <c r="Z554" s="4"/>
    </row>
    <row r="555">
      <c r="A555" s="28"/>
      <c r="B555" s="2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7"/>
      <c r="V555" s="7"/>
      <c r="W555" s="4"/>
      <c r="X555" s="4"/>
      <c r="Y555" s="4"/>
      <c r="Z555" s="4"/>
    </row>
    <row r="556">
      <c r="A556" s="28"/>
      <c r="B556" s="2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7"/>
      <c r="V556" s="7"/>
      <c r="W556" s="4"/>
      <c r="X556" s="4"/>
      <c r="Y556" s="4"/>
      <c r="Z556" s="4"/>
    </row>
    <row r="557">
      <c r="A557" s="28"/>
      <c r="B557" s="2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7"/>
      <c r="V557" s="7"/>
      <c r="W557" s="4"/>
      <c r="X557" s="4"/>
      <c r="Y557" s="4"/>
      <c r="Z557" s="4"/>
    </row>
    <row r="558">
      <c r="A558" s="28"/>
      <c r="B558" s="2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7"/>
      <c r="V558" s="7"/>
      <c r="W558" s="4"/>
      <c r="X558" s="4"/>
      <c r="Y558" s="4"/>
      <c r="Z558" s="4"/>
    </row>
    <row r="559">
      <c r="A559" s="28"/>
      <c r="B559" s="2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7"/>
      <c r="V559" s="7"/>
      <c r="W559" s="4"/>
      <c r="X559" s="4"/>
      <c r="Y559" s="4"/>
      <c r="Z559" s="4"/>
    </row>
    <row r="560">
      <c r="A560" s="28"/>
      <c r="B560" s="2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7"/>
      <c r="V560" s="7"/>
      <c r="W560" s="4"/>
      <c r="X560" s="4"/>
      <c r="Y560" s="4"/>
      <c r="Z560" s="4"/>
    </row>
    <row r="561">
      <c r="A561" s="28"/>
      <c r="B561" s="2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7"/>
      <c r="V561" s="7"/>
      <c r="W561" s="4"/>
      <c r="X561" s="4"/>
      <c r="Y561" s="4"/>
      <c r="Z561" s="4"/>
    </row>
    <row r="562">
      <c r="A562" s="28"/>
      <c r="B562" s="2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7"/>
      <c r="V562" s="7"/>
      <c r="W562" s="4"/>
      <c r="X562" s="4"/>
      <c r="Y562" s="4"/>
      <c r="Z562" s="4"/>
    </row>
    <row r="563">
      <c r="A563" s="28"/>
      <c r="B563" s="2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7"/>
      <c r="V563" s="7"/>
      <c r="W563" s="4"/>
      <c r="X563" s="4"/>
      <c r="Y563" s="4"/>
      <c r="Z563" s="4"/>
    </row>
    <row r="564">
      <c r="A564" s="28"/>
      <c r="B564" s="2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7"/>
      <c r="V564" s="7"/>
      <c r="W564" s="4"/>
      <c r="X564" s="4"/>
      <c r="Y564" s="4"/>
      <c r="Z564" s="4"/>
    </row>
    <row r="565">
      <c r="A565" s="28"/>
      <c r="B565" s="2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7"/>
      <c r="V565" s="7"/>
      <c r="W565" s="4"/>
      <c r="X565" s="4"/>
      <c r="Y565" s="4"/>
      <c r="Z565" s="4"/>
    </row>
    <row r="566">
      <c r="A566" s="28"/>
      <c r="B566" s="2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7"/>
      <c r="V566" s="7"/>
      <c r="W566" s="4"/>
      <c r="X566" s="4"/>
      <c r="Y566" s="4"/>
      <c r="Z566" s="4"/>
    </row>
    <row r="567">
      <c r="A567" s="28"/>
      <c r="B567" s="2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7"/>
      <c r="V567" s="7"/>
      <c r="W567" s="4"/>
      <c r="X567" s="4"/>
      <c r="Y567" s="4"/>
      <c r="Z567" s="4"/>
    </row>
    <row r="568">
      <c r="A568" s="28"/>
      <c r="B568" s="2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7"/>
      <c r="V568" s="7"/>
      <c r="W568" s="4"/>
      <c r="X568" s="4"/>
      <c r="Y568" s="4"/>
      <c r="Z568" s="4"/>
    </row>
    <row r="569">
      <c r="A569" s="28"/>
      <c r="B569" s="2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7"/>
      <c r="V569" s="7"/>
      <c r="W569" s="4"/>
      <c r="X569" s="4"/>
      <c r="Y569" s="4"/>
      <c r="Z569" s="4"/>
    </row>
    <row r="570">
      <c r="A570" s="28"/>
      <c r="B570" s="2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7"/>
      <c r="V570" s="7"/>
      <c r="W570" s="4"/>
      <c r="X570" s="4"/>
      <c r="Y570" s="4"/>
      <c r="Z570" s="4"/>
    </row>
    <row r="571">
      <c r="A571" s="28"/>
      <c r="B571" s="2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7"/>
      <c r="V571" s="7"/>
      <c r="W571" s="4"/>
      <c r="X571" s="4"/>
      <c r="Y571" s="4"/>
      <c r="Z571" s="4"/>
    </row>
    <row r="572">
      <c r="A572" s="28"/>
      <c r="B572" s="2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7"/>
      <c r="V572" s="7"/>
      <c r="W572" s="4"/>
      <c r="X572" s="4"/>
      <c r="Y572" s="4"/>
      <c r="Z572" s="4"/>
    </row>
    <row r="573">
      <c r="A573" s="28"/>
      <c r="B573" s="2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7"/>
      <c r="V573" s="7"/>
      <c r="W573" s="4"/>
      <c r="X573" s="4"/>
      <c r="Y573" s="4"/>
      <c r="Z573" s="4"/>
    </row>
    <row r="574">
      <c r="A574" s="28"/>
      <c r="B574" s="2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7"/>
      <c r="V574" s="7"/>
      <c r="W574" s="4"/>
      <c r="X574" s="4"/>
      <c r="Y574" s="4"/>
      <c r="Z574" s="4"/>
    </row>
    <row r="575">
      <c r="A575" s="28"/>
      <c r="B575" s="2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7"/>
      <c r="V575" s="7"/>
      <c r="W575" s="4"/>
      <c r="X575" s="4"/>
      <c r="Y575" s="4"/>
      <c r="Z575" s="4"/>
    </row>
    <row r="576">
      <c r="A576" s="28"/>
      <c r="B576" s="2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7"/>
      <c r="V576" s="7"/>
      <c r="W576" s="4"/>
      <c r="X576" s="4"/>
      <c r="Y576" s="4"/>
      <c r="Z576" s="4"/>
    </row>
    <row r="577">
      <c r="A577" s="28"/>
      <c r="B577" s="2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7"/>
      <c r="V577" s="7"/>
      <c r="W577" s="4"/>
      <c r="X577" s="4"/>
      <c r="Y577" s="4"/>
      <c r="Z577" s="4"/>
    </row>
    <row r="578">
      <c r="A578" s="28"/>
      <c r="B578" s="2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7"/>
      <c r="V578" s="7"/>
      <c r="W578" s="4"/>
      <c r="X578" s="4"/>
      <c r="Y578" s="4"/>
      <c r="Z578" s="4"/>
    </row>
    <row r="579">
      <c r="A579" s="28"/>
      <c r="B579" s="2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7"/>
      <c r="V579" s="7"/>
      <c r="W579" s="4"/>
      <c r="X579" s="4"/>
      <c r="Y579" s="4"/>
      <c r="Z579" s="4"/>
    </row>
    <row r="580">
      <c r="A580" s="28"/>
      <c r="B580" s="2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7"/>
      <c r="V580" s="7"/>
      <c r="W580" s="4"/>
      <c r="X580" s="4"/>
      <c r="Y580" s="4"/>
      <c r="Z580" s="4"/>
    </row>
    <row r="581">
      <c r="A581" s="28"/>
      <c r="B581" s="2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7"/>
      <c r="V581" s="7"/>
      <c r="W581" s="4"/>
      <c r="X581" s="4"/>
      <c r="Y581" s="4"/>
      <c r="Z581" s="4"/>
    </row>
    <row r="582">
      <c r="A582" s="28"/>
      <c r="B582" s="2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7"/>
      <c r="V582" s="7"/>
      <c r="W582" s="4"/>
      <c r="X582" s="4"/>
      <c r="Y582" s="4"/>
      <c r="Z582" s="4"/>
    </row>
    <row r="583">
      <c r="A583" s="28"/>
      <c r="B583" s="2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7"/>
      <c r="V583" s="7"/>
      <c r="W583" s="4"/>
      <c r="X583" s="4"/>
      <c r="Y583" s="4"/>
      <c r="Z583" s="4"/>
    </row>
    <row r="584">
      <c r="A584" s="28"/>
      <c r="B584" s="2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7"/>
      <c r="V584" s="7"/>
      <c r="W584" s="4"/>
      <c r="X584" s="4"/>
      <c r="Y584" s="4"/>
      <c r="Z584" s="4"/>
    </row>
    <row r="585">
      <c r="A585" s="28"/>
      <c r="B585" s="2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7"/>
      <c r="V585" s="7"/>
      <c r="W585" s="4"/>
      <c r="X585" s="4"/>
      <c r="Y585" s="4"/>
      <c r="Z585" s="4"/>
    </row>
    <row r="586">
      <c r="A586" s="28"/>
      <c r="B586" s="2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7"/>
      <c r="V586" s="7"/>
      <c r="W586" s="4"/>
      <c r="X586" s="4"/>
      <c r="Y586" s="4"/>
      <c r="Z586" s="4"/>
    </row>
    <row r="587">
      <c r="A587" s="28"/>
      <c r="B587" s="2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7"/>
      <c r="V587" s="7"/>
      <c r="W587" s="4"/>
      <c r="X587" s="4"/>
      <c r="Y587" s="4"/>
      <c r="Z587" s="4"/>
    </row>
    <row r="588">
      <c r="A588" s="28"/>
      <c r="B588" s="2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7"/>
      <c r="V588" s="7"/>
      <c r="W588" s="4"/>
      <c r="X588" s="4"/>
      <c r="Y588" s="4"/>
      <c r="Z588" s="4"/>
    </row>
    <row r="589">
      <c r="A589" s="28"/>
      <c r="B589" s="2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7"/>
      <c r="V589" s="7"/>
      <c r="W589" s="4"/>
      <c r="X589" s="4"/>
      <c r="Y589" s="4"/>
      <c r="Z589" s="4"/>
    </row>
    <row r="590">
      <c r="A590" s="28"/>
      <c r="B590" s="2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7"/>
      <c r="V590" s="7"/>
      <c r="W590" s="4"/>
      <c r="X590" s="4"/>
      <c r="Y590" s="4"/>
      <c r="Z590" s="4"/>
    </row>
    <row r="591">
      <c r="A591" s="28"/>
      <c r="B591" s="2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7"/>
      <c r="V591" s="7"/>
      <c r="W591" s="4"/>
      <c r="X591" s="4"/>
      <c r="Y591" s="4"/>
      <c r="Z591" s="4"/>
    </row>
    <row r="592">
      <c r="A592" s="28"/>
      <c r="B592" s="2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7"/>
      <c r="V592" s="7"/>
      <c r="W592" s="4"/>
      <c r="X592" s="4"/>
      <c r="Y592" s="4"/>
      <c r="Z592" s="4"/>
    </row>
    <row r="593">
      <c r="A593" s="28"/>
      <c r="B593" s="2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7"/>
      <c r="V593" s="7"/>
      <c r="W593" s="4"/>
      <c r="X593" s="4"/>
      <c r="Y593" s="4"/>
      <c r="Z593" s="4"/>
    </row>
    <row r="594">
      <c r="A594" s="28"/>
      <c r="B594" s="2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7"/>
      <c r="V594" s="7"/>
      <c r="W594" s="4"/>
      <c r="X594" s="4"/>
      <c r="Y594" s="4"/>
      <c r="Z594" s="4"/>
    </row>
    <row r="595">
      <c r="A595" s="28"/>
      <c r="B595" s="2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7"/>
      <c r="V595" s="7"/>
      <c r="W595" s="4"/>
      <c r="X595" s="4"/>
      <c r="Y595" s="4"/>
      <c r="Z595" s="4"/>
    </row>
    <row r="596">
      <c r="A596" s="28"/>
      <c r="B596" s="2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7"/>
      <c r="V596" s="7"/>
      <c r="W596" s="4"/>
      <c r="X596" s="4"/>
      <c r="Y596" s="4"/>
      <c r="Z596" s="4"/>
    </row>
    <row r="597">
      <c r="A597" s="28"/>
      <c r="B597" s="2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7"/>
      <c r="V597" s="7"/>
      <c r="W597" s="4"/>
      <c r="X597" s="4"/>
      <c r="Y597" s="4"/>
      <c r="Z597" s="4"/>
    </row>
    <row r="598">
      <c r="A598" s="28"/>
      <c r="B598" s="2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7"/>
      <c r="V598" s="7"/>
      <c r="W598" s="4"/>
      <c r="X598" s="4"/>
      <c r="Y598" s="4"/>
      <c r="Z598" s="4"/>
    </row>
    <row r="599">
      <c r="A599" s="28"/>
      <c r="B599" s="2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7"/>
      <c r="V599" s="7"/>
      <c r="W599" s="4"/>
      <c r="X599" s="4"/>
      <c r="Y599" s="4"/>
      <c r="Z599" s="4"/>
    </row>
    <row r="600">
      <c r="A600" s="28"/>
      <c r="B600" s="2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7"/>
      <c r="V600" s="7"/>
      <c r="W600" s="4"/>
      <c r="X600" s="4"/>
      <c r="Y600" s="4"/>
      <c r="Z600" s="4"/>
    </row>
    <row r="601">
      <c r="A601" s="28"/>
      <c r="B601" s="2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7"/>
      <c r="V601" s="7"/>
      <c r="W601" s="4"/>
      <c r="X601" s="4"/>
      <c r="Y601" s="4"/>
      <c r="Z601" s="4"/>
    </row>
    <row r="602">
      <c r="A602" s="28"/>
      <c r="B602" s="2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7"/>
      <c r="V602" s="7"/>
      <c r="W602" s="4"/>
      <c r="X602" s="4"/>
      <c r="Y602" s="4"/>
      <c r="Z602" s="4"/>
    </row>
    <row r="603">
      <c r="A603" s="28"/>
      <c r="B603" s="2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7"/>
      <c r="V603" s="7"/>
      <c r="W603" s="4"/>
      <c r="X603" s="4"/>
      <c r="Y603" s="4"/>
      <c r="Z603" s="4"/>
    </row>
    <row r="604">
      <c r="A604" s="28"/>
      <c r="B604" s="2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7"/>
      <c r="V604" s="7"/>
      <c r="W604" s="4"/>
      <c r="X604" s="4"/>
      <c r="Y604" s="4"/>
      <c r="Z604" s="4"/>
    </row>
    <row r="605">
      <c r="A605" s="28"/>
      <c r="B605" s="2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7"/>
      <c r="V605" s="7"/>
      <c r="W605" s="4"/>
      <c r="X605" s="4"/>
      <c r="Y605" s="4"/>
      <c r="Z605" s="4"/>
    </row>
    <row r="606">
      <c r="A606" s="28"/>
      <c r="B606" s="2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7"/>
      <c r="V606" s="7"/>
      <c r="W606" s="4"/>
      <c r="X606" s="4"/>
      <c r="Y606" s="4"/>
      <c r="Z606" s="4"/>
    </row>
    <row r="607">
      <c r="A607" s="28"/>
      <c r="B607" s="2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7"/>
      <c r="V607" s="7"/>
      <c r="W607" s="4"/>
      <c r="X607" s="4"/>
      <c r="Y607" s="4"/>
      <c r="Z607" s="4"/>
    </row>
    <row r="608">
      <c r="A608" s="28"/>
      <c r="B608" s="2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7"/>
      <c r="V608" s="7"/>
      <c r="W608" s="4"/>
      <c r="X608" s="4"/>
      <c r="Y608" s="4"/>
      <c r="Z608" s="4"/>
    </row>
    <row r="609">
      <c r="A609" s="28"/>
      <c r="B609" s="2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7"/>
      <c r="V609" s="7"/>
      <c r="W609" s="4"/>
      <c r="X609" s="4"/>
      <c r="Y609" s="4"/>
      <c r="Z609" s="4"/>
    </row>
    <row r="610">
      <c r="A610" s="28"/>
      <c r="B610" s="2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7"/>
      <c r="V610" s="7"/>
      <c r="W610" s="4"/>
      <c r="X610" s="4"/>
      <c r="Y610" s="4"/>
      <c r="Z610" s="4"/>
    </row>
    <row r="611">
      <c r="A611" s="28"/>
      <c r="B611" s="2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7"/>
      <c r="V611" s="7"/>
      <c r="W611" s="4"/>
      <c r="X611" s="4"/>
      <c r="Y611" s="4"/>
      <c r="Z611" s="4"/>
    </row>
    <row r="612">
      <c r="A612" s="28"/>
      <c r="B612" s="2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7"/>
      <c r="V612" s="7"/>
      <c r="W612" s="4"/>
      <c r="X612" s="4"/>
      <c r="Y612" s="4"/>
      <c r="Z612" s="4"/>
    </row>
    <row r="613">
      <c r="A613" s="28"/>
      <c r="B613" s="2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7"/>
      <c r="V613" s="7"/>
      <c r="W613" s="4"/>
      <c r="X613" s="4"/>
      <c r="Y613" s="4"/>
      <c r="Z613" s="4"/>
    </row>
    <row r="614">
      <c r="A614" s="28"/>
      <c r="B614" s="2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7"/>
      <c r="V614" s="7"/>
      <c r="W614" s="4"/>
      <c r="X614" s="4"/>
      <c r="Y614" s="4"/>
      <c r="Z614" s="4"/>
    </row>
    <row r="615">
      <c r="A615" s="28"/>
      <c r="B615" s="2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7"/>
      <c r="V615" s="7"/>
      <c r="W615" s="4"/>
      <c r="X615" s="4"/>
      <c r="Y615" s="4"/>
      <c r="Z615" s="4"/>
    </row>
    <row r="616">
      <c r="A616" s="28"/>
      <c r="B616" s="2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7"/>
      <c r="V616" s="7"/>
      <c r="W616" s="4"/>
      <c r="X616" s="4"/>
      <c r="Y616" s="4"/>
      <c r="Z616" s="4"/>
    </row>
    <row r="617">
      <c r="A617" s="28"/>
      <c r="B617" s="2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7"/>
      <c r="V617" s="7"/>
      <c r="W617" s="4"/>
      <c r="X617" s="4"/>
      <c r="Y617" s="4"/>
      <c r="Z617" s="4"/>
    </row>
    <row r="618">
      <c r="A618" s="28"/>
      <c r="B618" s="2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7"/>
      <c r="V618" s="7"/>
      <c r="W618" s="4"/>
      <c r="X618" s="4"/>
      <c r="Y618" s="4"/>
      <c r="Z618" s="4"/>
    </row>
    <row r="619">
      <c r="A619" s="28"/>
      <c r="B619" s="2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7"/>
      <c r="V619" s="7"/>
      <c r="W619" s="4"/>
      <c r="X619" s="4"/>
      <c r="Y619" s="4"/>
      <c r="Z619" s="4"/>
    </row>
    <row r="620">
      <c r="A620" s="28"/>
      <c r="B620" s="2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7"/>
      <c r="V620" s="7"/>
      <c r="W620" s="4"/>
      <c r="X620" s="4"/>
      <c r="Y620" s="4"/>
      <c r="Z620" s="4"/>
    </row>
    <row r="621">
      <c r="A621" s="28"/>
      <c r="B621" s="2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7"/>
      <c r="V621" s="7"/>
      <c r="W621" s="4"/>
      <c r="X621" s="4"/>
      <c r="Y621" s="4"/>
      <c r="Z621" s="4"/>
    </row>
    <row r="622">
      <c r="A622" s="28"/>
      <c r="B622" s="2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7"/>
      <c r="V622" s="7"/>
      <c r="W622" s="4"/>
      <c r="X622" s="4"/>
      <c r="Y622" s="4"/>
      <c r="Z622" s="4"/>
    </row>
    <row r="623">
      <c r="A623" s="28"/>
      <c r="B623" s="2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7"/>
      <c r="V623" s="7"/>
      <c r="W623" s="4"/>
      <c r="X623" s="4"/>
      <c r="Y623" s="4"/>
      <c r="Z623" s="4"/>
    </row>
    <row r="624">
      <c r="A624" s="28"/>
      <c r="B624" s="2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7"/>
      <c r="V624" s="7"/>
      <c r="W624" s="4"/>
      <c r="X624" s="4"/>
      <c r="Y624" s="4"/>
      <c r="Z624" s="4"/>
    </row>
    <row r="625">
      <c r="A625" s="28"/>
      <c r="B625" s="2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7"/>
      <c r="V625" s="7"/>
      <c r="W625" s="4"/>
      <c r="X625" s="4"/>
      <c r="Y625" s="4"/>
      <c r="Z625" s="4"/>
    </row>
    <row r="626">
      <c r="A626" s="28"/>
      <c r="B626" s="2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7"/>
      <c r="V626" s="7"/>
      <c r="W626" s="4"/>
      <c r="X626" s="4"/>
      <c r="Y626" s="4"/>
      <c r="Z626" s="4"/>
    </row>
    <row r="627">
      <c r="A627" s="28"/>
      <c r="B627" s="2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7"/>
      <c r="V627" s="7"/>
      <c r="W627" s="4"/>
      <c r="X627" s="4"/>
      <c r="Y627" s="4"/>
      <c r="Z627" s="4"/>
    </row>
    <row r="628">
      <c r="A628" s="28"/>
      <c r="B628" s="2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7"/>
      <c r="V628" s="7"/>
      <c r="W628" s="4"/>
      <c r="X628" s="4"/>
      <c r="Y628" s="4"/>
      <c r="Z628" s="4"/>
    </row>
    <row r="629">
      <c r="A629" s="28"/>
      <c r="B629" s="2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7"/>
      <c r="V629" s="7"/>
      <c r="W629" s="4"/>
      <c r="X629" s="4"/>
      <c r="Y629" s="4"/>
      <c r="Z629" s="4"/>
    </row>
    <row r="630">
      <c r="A630" s="28"/>
      <c r="B630" s="2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7"/>
      <c r="V630" s="7"/>
      <c r="W630" s="4"/>
      <c r="X630" s="4"/>
      <c r="Y630" s="4"/>
      <c r="Z630" s="4"/>
    </row>
    <row r="631">
      <c r="A631" s="28"/>
      <c r="B631" s="2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7"/>
      <c r="V631" s="7"/>
      <c r="W631" s="4"/>
      <c r="X631" s="4"/>
      <c r="Y631" s="4"/>
      <c r="Z631" s="4"/>
    </row>
    <row r="632">
      <c r="A632" s="28"/>
      <c r="B632" s="2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7"/>
      <c r="V632" s="7"/>
      <c r="W632" s="4"/>
      <c r="X632" s="4"/>
      <c r="Y632" s="4"/>
      <c r="Z632" s="4"/>
    </row>
    <row r="633">
      <c r="A633" s="28"/>
      <c r="B633" s="2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7"/>
      <c r="V633" s="7"/>
      <c r="W633" s="4"/>
      <c r="X633" s="4"/>
      <c r="Y633" s="4"/>
      <c r="Z633" s="4"/>
    </row>
    <row r="634">
      <c r="A634" s="28"/>
      <c r="B634" s="2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7"/>
      <c r="V634" s="7"/>
      <c r="W634" s="4"/>
      <c r="X634" s="4"/>
      <c r="Y634" s="4"/>
      <c r="Z634" s="4"/>
    </row>
    <row r="635">
      <c r="A635" s="28"/>
      <c r="B635" s="2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7"/>
      <c r="V635" s="7"/>
      <c r="W635" s="4"/>
      <c r="X635" s="4"/>
      <c r="Y635" s="4"/>
      <c r="Z635" s="4"/>
    </row>
    <row r="636">
      <c r="A636" s="28"/>
      <c r="B636" s="2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7"/>
      <c r="V636" s="7"/>
      <c r="W636" s="4"/>
      <c r="X636" s="4"/>
      <c r="Y636" s="4"/>
      <c r="Z636" s="4"/>
    </row>
    <row r="637">
      <c r="A637" s="28"/>
      <c r="B637" s="2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7"/>
      <c r="V637" s="7"/>
      <c r="W637" s="4"/>
      <c r="X637" s="4"/>
      <c r="Y637" s="4"/>
      <c r="Z637" s="4"/>
    </row>
    <row r="638">
      <c r="A638" s="28"/>
      <c r="B638" s="2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7"/>
      <c r="V638" s="7"/>
      <c r="W638" s="4"/>
      <c r="X638" s="4"/>
      <c r="Y638" s="4"/>
      <c r="Z638" s="4"/>
    </row>
    <row r="639">
      <c r="A639" s="28"/>
      <c r="B639" s="2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7"/>
      <c r="V639" s="7"/>
      <c r="W639" s="4"/>
      <c r="X639" s="4"/>
      <c r="Y639" s="4"/>
      <c r="Z639" s="4"/>
    </row>
    <row r="640">
      <c r="A640" s="28"/>
      <c r="B640" s="2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7"/>
      <c r="V640" s="7"/>
      <c r="W640" s="4"/>
      <c r="X640" s="4"/>
      <c r="Y640" s="4"/>
      <c r="Z640" s="4"/>
    </row>
    <row r="641">
      <c r="A641" s="28"/>
      <c r="B641" s="2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7"/>
      <c r="V641" s="7"/>
      <c r="W641" s="4"/>
      <c r="X641" s="4"/>
      <c r="Y641" s="4"/>
      <c r="Z641" s="4"/>
    </row>
    <row r="642">
      <c r="A642" s="28"/>
      <c r="B642" s="2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7"/>
      <c r="V642" s="7"/>
      <c r="W642" s="4"/>
      <c r="X642" s="4"/>
      <c r="Y642" s="4"/>
      <c r="Z642" s="4"/>
    </row>
    <row r="643">
      <c r="A643" s="28"/>
      <c r="B643" s="2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7"/>
      <c r="V643" s="7"/>
      <c r="W643" s="4"/>
      <c r="X643" s="4"/>
      <c r="Y643" s="4"/>
      <c r="Z643" s="4"/>
    </row>
    <row r="644">
      <c r="A644" s="28"/>
      <c r="B644" s="2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7"/>
      <c r="V644" s="7"/>
      <c r="W644" s="4"/>
      <c r="X644" s="4"/>
      <c r="Y644" s="4"/>
      <c r="Z644" s="4"/>
    </row>
    <row r="645">
      <c r="A645" s="28"/>
      <c r="B645" s="2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7"/>
      <c r="V645" s="7"/>
      <c r="W645" s="4"/>
      <c r="X645" s="4"/>
      <c r="Y645" s="4"/>
      <c r="Z645" s="4"/>
    </row>
    <row r="646">
      <c r="A646" s="28"/>
      <c r="B646" s="2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7"/>
      <c r="V646" s="7"/>
      <c r="W646" s="4"/>
      <c r="X646" s="4"/>
      <c r="Y646" s="4"/>
      <c r="Z646" s="4"/>
    </row>
    <row r="647">
      <c r="A647" s="28"/>
      <c r="B647" s="2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7"/>
      <c r="V647" s="7"/>
      <c r="W647" s="4"/>
      <c r="X647" s="4"/>
      <c r="Y647" s="4"/>
      <c r="Z647" s="4"/>
    </row>
    <row r="648">
      <c r="A648" s="28"/>
      <c r="B648" s="2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7"/>
      <c r="V648" s="7"/>
      <c r="W648" s="4"/>
      <c r="X648" s="4"/>
      <c r="Y648" s="4"/>
      <c r="Z648" s="4"/>
    </row>
    <row r="649">
      <c r="A649" s="28"/>
      <c r="B649" s="2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7"/>
      <c r="V649" s="7"/>
      <c r="W649" s="4"/>
      <c r="X649" s="4"/>
      <c r="Y649" s="4"/>
      <c r="Z649" s="4"/>
    </row>
    <row r="650">
      <c r="A650" s="28"/>
      <c r="B650" s="2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7"/>
      <c r="V650" s="7"/>
      <c r="W650" s="4"/>
      <c r="X650" s="4"/>
      <c r="Y650" s="4"/>
      <c r="Z650" s="4"/>
    </row>
    <row r="651">
      <c r="A651" s="28"/>
      <c r="B651" s="2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7"/>
      <c r="V651" s="7"/>
      <c r="W651" s="4"/>
      <c r="X651" s="4"/>
      <c r="Y651" s="4"/>
      <c r="Z651" s="4"/>
    </row>
    <row r="652">
      <c r="A652" s="28"/>
      <c r="B652" s="2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7"/>
      <c r="V652" s="7"/>
      <c r="W652" s="4"/>
      <c r="X652" s="4"/>
      <c r="Y652" s="4"/>
      <c r="Z652" s="4"/>
    </row>
    <row r="653">
      <c r="A653" s="28"/>
      <c r="B653" s="2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7"/>
      <c r="V653" s="7"/>
      <c r="W653" s="4"/>
      <c r="X653" s="4"/>
      <c r="Y653" s="4"/>
      <c r="Z653" s="4"/>
    </row>
    <row r="654">
      <c r="A654" s="28"/>
      <c r="B654" s="2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7"/>
      <c r="V654" s="7"/>
      <c r="W654" s="4"/>
      <c r="X654" s="4"/>
      <c r="Y654" s="4"/>
      <c r="Z654" s="4"/>
    </row>
    <row r="655">
      <c r="A655" s="28"/>
      <c r="B655" s="2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7"/>
      <c r="V655" s="7"/>
      <c r="W655" s="4"/>
      <c r="X655" s="4"/>
      <c r="Y655" s="4"/>
      <c r="Z655" s="4"/>
    </row>
    <row r="656">
      <c r="A656" s="28"/>
      <c r="B656" s="2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7"/>
      <c r="V656" s="7"/>
      <c r="W656" s="4"/>
      <c r="X656" s="4"/>
      <c r="Y656" s="4"/>
      <c r="Z656" s="4"/>
    </row>
    <row r="657">
      <c r="A657" s="28"/>
      <c r="B657" s="2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7"/>
      <c r="V657" s="7"/>
      <c r="W657" s="4"/>
      <c r="X657" s="4"/>
      <c r="Y657" s="4"/>
      <c r="Z657" s="4"/>
    </row>
    <row r="658">
      <c r="A658" s="28"/>
      <c r="B658" s="2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7"/>
      <c r="V658" s="7"/>
      <c r="W658" s="4"/>
      <c r="X658" s="4"/>
      <c r="Y658" s="4"/>
      <c r="Z658" s="4"/>
    </row>
    <row r="659">
      <c r="A659" s="28"/>
      <c r="B659" s="2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7"/>
      <c r="V659" s="7"/>
      <c r="W659" s="4"/>
      <c r="X659" s="4"/>
      <c r="Y659" s="4"/>
      <c r="Z659" s="4"/>
    </row>
    <row r="660">
      <c r="A660" s="28"/>
      <c r="B660" s="2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7"/>
      <c r="V660" s="7"/>
      <c r="W660" s="4"/>
      <c r="X660" s="4"/>
      <c r="Y660" s="4"/>
      <c r="Z660" s="4"/>
    </row>
    <row r="661">
      <c r="A661" s="28"/>
      <c r="B661" s="2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7"/>
      <c r="V661" s="7"/>
      <c r="W661" s="4"/>
      <c r="X661" s="4"/>
      <c r="Y661" s="4"/>
      <c r="Z661" s="4"/>
    </row>
    <row r="662">
      <c r="A662" s="28"/>
      <c r="B662" s="2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7"/>
      <c r="V662" s="7"/>
      <c r="W662" s="4"/>
      <c r="X662" s="4"/>
      <c r="Y662" s="4"/>
      <c r="Z662" s="4"/>
    </row>
    <row r="663">
      <c r="A663" s="28"/>
      <c r="B663" s="2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7"/>
      <c r="V663" s="7"/>
      <c r="W663" s="4"/>
      <c r="X663" s="4"/>
      <c r="Y663" s="4"/>
      <c r="Z663" s="4"/>
    </row>
    <row r="664">
      <c r="A664" s="28"/>
      <c r="B664" s="2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7"/>
      <c r="V664" s="7"/>
      <c r="W664" s="4"/>
      <c r="X664" s="4"/>
      <c r="Y664" s="4"/>
      <c r="Z664" s="4"/>
    </row>
    <row r="665">
      <c r="A665" s="28"/>
      <c r="B665" s="2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7"/>
      <c r="V665" s="7"/>
      <c r="W665" s="4"/>
      <c r="X665" s="4"/>
      <c r="Y665" s="4"/>
      <c r="Z665" s="4"/>
    </row>
    <row r="666">
      <c r="A666" s="28"/>
      <c r="B666" s="2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7"/>
      <c r="V666" s="7"/>
      <c r="W666" s="4"/>
      <c r="X666" s="4"/>
      <c r="Y666" s="4"/>
      <c r="Z666" s="4"/>
    </row>
    <row r="667">
      <c r="A667" s="28"/>
      <c r="B667" s="2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7"/>
      <c r="V667" s="7"/>
      <c r="W667" s="4"/>
      <c r="X667" s="4"/>
      <c r="Y667" s="4"/>
      <c r="Z667" s="4"/>
    </row>
    <row r="668">
      <c r="A668" s="28"/>
      <c r="B668" s="2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7"/>
      <c r="V668" s="7"/>
      <c r="W668" s="4"/>
      <c r="X668" s="4"/>
      <c r="Y668" s="4"/>
      <c r="Z668" s="4"/>
    </row>
    <row r="669">
      <c r="A669" s="28"/>
      <c r="B669" s="2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7"/>
      <c r="V669" s="7"/>
      <c r="W669" s="4"/>
      <c r="X669" s="4"/>
      <c r="Y669" s="4"/>
      <c r="Z669" s="4"/>
    </row>
    <row r="670">
      <c r="A670" s="28"/>
      <c r="B670" s="2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7"/>
      <c r="V670" s="7"/>
      <c r="W670" s="4"/>
      <c r="X670" s="4"/>
      <c r="Y670" s="4"/>
      <c r="Z670" s="4"/>
    </row>
    <row r="671">
      <c r="A671" s="28"/>
      <c r="B671" s="2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7"/>
      <c r="V671" s="7"/>
      <c r="W671" s="4"/>
      <c r="X671" s="4"/>
      <c r="Y671" s="4"/>
      <c r="Z671" s="4"/>
    </row>
    <row r="672">
      <c r="A672" s="28"/>
      <c r="B672" s="2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7"/>
      <c r="V672" s="7"/>
      <c r="W672" s="4"/>
      <c r="X672" s="4"/>
      <c r="Y672" s="4"/>
      <c r="Z672" s="4"/>
    </row>
    <row r="673">
      <c r="A673" s="28"/>
      <c r="B673" s="2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7"/>
      <c r="V673" s="7"/>
      <c r="W673" s="4"/>
      <c r="X673" s="4"/>
      <c r="Y673" s="4"/>
      <c r="Z673" s="4"/>
    </row>
    <row r="674">
      <c r="A674" s="28"/>
      <c r="B674" s="2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7"/>
      <c r="V674" s="7"/>
      <c r="W674" s="4"/>
      <c r="X674" s="4"/>
      <c r="Y674" s="4"/>
      <c r="Z674" s="4"/>
    </row>
    <row r="675">
      <c r="A675" s="28"/>
      <c r="B675" s="2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7"/>
      <c r="V675" s="7"/>
      <c r="W675" s="4"/>
      <c r="X675" s="4"/>
      <c r="Y675" s="4"/>
      <c r="Z675" s="4"/>
    </row>
    <row r="676">
      <c r="A676" s="28"/>
      <c r="B676" s="2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7"/>
      <c r="V676" s="7"/>
      <c r="W676" s="4"/>
      <c r="X676" s="4"/>
      <c r="Y676" s="4"/>
      <c r="Z676" s="4"/>
    </row>
    <row r="677">
      <c r="A677" s="28"/>
      <c r="B677" s="2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7"/>
      <c r="V677" s="7"/>
      <c r="W677" s="4"/>
      <c r="X677" s="4"/>
      <c r="Y677" s="4"/>
      <c r="Z677" s="4"/>
    </row>
    <row r="678">
      <c r="A678" s="28"/>
      <c r="B678" s="2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7"/>
      <c r="V678" s="7"/>
      <c r="W678" s="4"/>
      <c r="X678" s="4"/>
      <c r="Y678" s="4"/>
      <c r="Z678" s="4"/>
    </row>
    <row r="679">
      <c r="A679" s="28"/>
      <c r="B679" s="2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7"/>
      <c r="V679" s="7"/>
      <c r="W679" s="4"/>
      <c r="X679" s="4"/>
      <c r="Y679" s="4"/>
      <c r="Z679" s="4"/>
    </row>
    <row r="680">
      <c r="A680" s="28"/>
      <c r="B680" s="2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7"/>
      <c r="V680" s="7"/>
      <c r="W680" s="4"/>
      <c r="X680" s="4"/>
      <c r="Y680" s="4"/>
      <c r="Z680" s="4"/>
    </row>
    <row r="681">
      <c r="A681" s="28"/>
      <c r="B681" s="2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7"/>
      <c r="V681" s="7"/>
      <c r="W681" s="4"/>
      <c r="X681" s="4"/>
      <c r="Y681" s="4"/>
      <c r="Z681" s="4"/>
    </row>
    <row r="682">
      <c r="A682" s="28"/>
      <c r="B682" s="2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7"/>
      <c r="V682" s="7"/>
      <c r="W682" s="4"/>
      <c r="X682" s="4"/>
      <c r="Y682" s="4"/>
      <c r="Z682" s="4"/>
    </row>
    <row r="683">
      <c r="A683" s="28"/>
      <c r="B683" s="2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7"/>
      <c r="V683" s="7"/>
      <c r="W683" s="4"/>
      <c r="X683" s="4"/>
      <c r="Y683" s="4"/>
      <c r="Z683" s="4"/>
    </row>
    <row r="684">
      <c r="A684" s="28"/>
      <c r="B684" s="2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7"/>
      <c r="V684" s="7"/>
      <c r="W684" s="4"/>
      <c r="X684" s="4"/>
      <c r="Y684" s="4"/>
      <c r="Z684" s="4"/>
    </row>
    <row r="685">
      <c r="A685" s="28"/>
      <c r="B685" s="2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7"/>
      <c r="V685" s="7"/>
      <c r="W685" s="4"/>
      <c r="X685" s="4"/>
      <c r="Y685" s="4"/>
      <c r="Z685" s="4"/>
    </row>
    <row r="686">
      <c r="A686" s="28"/>
      <c r="B686" s="2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7"/>
      <c r="V686" s="7"/>
      <c r="W686" s="4"/>
      <c r="X686" s="4"/>
      <c r="Y686" s="4"/>
      <c r="Z686" s="4"/>
    </row>
    <row r="687">
      <c r="A687" s="28"/>
      <c r="B687" s="2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7"/>
      <c r="V687" s="7"/>
      <c r="W687" s="4"/>
      <c r="X687" s="4"/>
      <c r="Y687" s="4"/>
      <c r="Z687" s="4"/>
    </row>
    <row r="688">
      <c r="A688" s="28"/>
      <c r="B688" s="2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7"/>
      <c r="V688" s="7"/>
      <c r="W688" s="4"/>
      <c r="X688" s="4"/>
      <c r="Y688" s="4"/>
      <c r="Z688" s="4"/>
    </row>
    <row r="689">
      <c r="A689" s="28"/>
      <c r="B689" s="2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7"/>
      <c r="V689" s="7"/>
      <c r="W689" s="4"/>
      <c r="X689" s="4"/>
      <c r="Y689" s="4"/>
      <c r="Z689" s="4"/>
    </row>
    <row r="690">
      <c r="A690" s="28"/>
      <c r="B690" s="2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7"/>
      <c r="V690" s="7"/>
      <c r="W690" s="4"/>
      <c r="X690" s="4"/>
      <c r="Y690" s="4"/>
      <c r="Z690" s="4"/>
    </row>
    <row r="691">
      <c r="A691" s="28"/>
      <c r="B691" s="2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7"/>
      <c r="V691" s="7"/>
      <c r="W691" s="4"/>
      <c r="X691" s="4"/>
      <c r="Y691" s="4"/>
      <c r="Z691" s="4"/>
    </row>
    <row r="692">
      <c r="A692" s="28"/>
      <c r="B692" s="2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7"/>
      <c r="V692" s="7"/>
      <c r="W692" s="4"/>
      <c r="X692" s="4"/>
      <c r="Y692" s="4"/>
      <c r="Z692" s="4"/>
    </row>
    <row r="693">
      <c r="A693" s="28"/>
      <c r="B693" s="2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7"/>
      <c r="V693" s="7"/>
      <c r="W693" s="4"/>
      <c r="X693" s="4"/>
      <c r="Y693" s="4"/>
      <c r="Z693" s="4"/>
    </row>
    <row r="694">
      <c r="A694" s="28"/>
      <c r="B694" s="2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7"/>
      <c r="V694" s="7"/>
      <c r="W694" s="4"/>
      <c r="X694" s="4"/>
      <c r="Y694" s="4"/>
      <c r="Z694" s="4"/>
    </row>
    <row r="695">
      <c r="A695" s="28"/>
      <c r="B695" s="2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7"/>
      <c r="V695" s="7"/>
      <c r="W695" s="4"/>
      <c r="X695" s="4"/>
      <c r="Y695" s="4"/>
      <c r="Z695" s="4"/>
    </row>
    <row r="696">
      <c r="A696" s="28"/>
      <c r="B696" s="2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7"/>
      <c r="V696" s="7"/>
      <c r="W696" s="4"/>
      <c r="X696" s="4"/>
      <c r="Y696" s="4"/>
      <c r="Z696" s="4"/>
    </row>
    <row r="697">
      <c r="A697" s="28"/>
      <c r="B697" s="2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7"/>
      <c r="V697" s="7"/>
      <c r="W697" s="4"/>
      <c r="X697" s="4"/>
      <c r="Y697" s="4"/>
      <c r="Z697" s="4"/>
    </row>
    <row r="698">
      <c r="A698" s="28"/>
      <c r="B698" s="2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7"/>
      <c r="V698" s="7"/>
      <c r="W698" s="4"/>
      <c r="X698" s="4"/>
      <c r="Y698" s="4"/>
      <c r="Z698" s="4"/>
    </row>
    <row r="699">
      <c r="A699" s="28"/>
      <c r="B699" s="2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7"/>
      <c r="V699" s="7"/>
      <c r="W699" s="4"/>
      <c r="X699" s="4"/>
      <c r="Y699" s="4"/>
      <c r="Z699" s="4"/>
    </row>
    <row r="700">
      <c r="A700" s="28"/>
      <c r="B700" s="2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7"/>
      <c r="V700" s="7"/>
      <c r="W700" s="4"/>
      <c r="X700" s="4"/>
      <c r="Y700" s="4"/>
      <c r="Z700" s="4"/>
    </row>
    <row r="701">
      <c r="A701" s="28"/>
      <c r="B701" s="2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7"/>
      <c r="V701" s="7"/>
      <c r="W701" s="4"/>
      <c r="X701" s="4"/>
      <c r="Y701" s="4"/>
      <c r="Z701" s="4"/>
    </row>
    <row r="702">
      <c r="A702" s="28"/>
      <c r="B702" s="2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7"/>
      <c r="V702" s="7"/>
      <c r="W702" s="4"/>
      <c r="X702" s="4"/>
      <c r="Y702" s="4"/>
      <c r="Z702" s="4"/>
    </row>
    <row r="703">
      <c r="A703" s="28"/>
      <c r="B703" s="2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7"/>
      <c r="V703" s="7"/>
      <c r="W703" s="4"/>
      <c r="X703" s="4"/>
      <c r="Y703" s="4"/>
      <c r="Z703" s="4"/>
    </row>
    <row r="704">
      <c r="A704" s="28"/>
      <c r="B704" s="2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7"/>
      <c r="V704" s="7"/>
      <c r="W704" s="4"/>
      <c r="X704" s="4"/>
      <c r="Y704" s="4"/>
      <c r="Z704" s="4"/>
    </row>
    <row r="705">
      <c r="A705" s="28"/>
      <c r="B705" s="2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7"/>
      <c r="V705" s="7"/>
      <c r="W705" s="4"/>
      <c r="X705" s="4"/>
      <c r="Y705" s="4"/>
      <c r="Z705" s="4"/>
    </row>
    <row r="706">
      <c r="A706" s="28"/>
      <c r="B706" s="2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7"/>
      <c r="V706" s="7"/>
      <c r="W706" s="4"/>
      <c r="X706" s="4"/>
      <c r="Y706" s="4"/>
      <c r="Z706" s="4"/>
    </row>
    <row r="707">
      <c r="A707" s="28"/>
      <c r="B707" s="2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7"/>
      <c r="V707" s="7"/>
      <c r="W707" s="4"/>
      <c r="X707" s="4"/>
      <c r="Y707" s="4"/>
      <c r="Z707" s="4"/>
    </row>
    <row r="708">
      <c r="A708" s="28"/>
      <c r="B708" s="2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7"/>
      <c r="V708" s="7"/>
      <c r="W708" s="4"/>
      <c r="X708" s="4"/>
      <c r="Y708" s="4"/>
      <c r="Z708" s="4"/>
    </row>
    <row r="709">
      <c r="A709" s="28"/>
      <c r="B709" s="2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7"/>
      <c r="V709" s="7"/>
      <c r="W709" s="4"/>
      <c r="X709" s="4"/>
      <c r="Y709" s="4"/>
      <c r="Z709" s="4"/>
    </row>
    <row r="710">
      <c r="A710" s="28"/>
      <c r="B710" s="2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7"/>
      <c r="V710" s="7"/>
      <c r="W710" s="4"/>
      <c r="X710" s="4"/>
      <c r="Y710" s="4"/>
      <c r="Z710" s="4"/>
    </row>
    <row r="711">
      <c r="A711" s="28"/>
      <c r="B711" s="2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7"/>
      <c r="V711" s="7"/>
      <c r="W711" s="4"/>
      <c r="X711" s="4"/>
      <c r="Y711" s="4"/>
      <c r="Z711" s="4"/>
    </row>
    <row r="712">
      <c r="A712" s="28"/>
      <c r="B712" s="2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7"/>
      <c r="V712" s="7"/>
      <c r="W712" s="4"/>
      <c r="X712" s="4"/>
      <c r="Y712" s="4"/>
      <c r="Z712" s="4"/>
    </row>
    <row r="713">
      <c r="A713" s="28"/>
      <c r="B713" s="2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7"/>
      <c r="V713" s="7"/>
      <c r="W713" s="4"/>
      <c r="X713" s="4"/>
      <c r="Y713" s="4"/>
      <c r="Z713" s="4"/>
    </row>
    <row r="714">
      <c r="A714" s="28"/>
      <c r="B714" s="2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7"/>
      <c r="V714" s="7"/>
      <c r="W714" s="4"/>
      <c r="X714" s="4"/>
      <c r="Y714" s="4"/>
      <c r="Z714" s="4"/>
    </row>
    <row r="715">
      <c r="A715" s="28"/>
      <c r="B715" s="2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7"/>
      <c r="V715" s="7"/>
      <c r="W715" s="4"/>
      <c r="X715" s="4"/>
      <c r="Y715" s="4"/>
      <c r="Z715" s="4"/>
    </row>
    <row r="716">
      <c r="A716" s="28"/>
      <c r="B716" s="2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7"/>
      <c r="V716" s="7"/>
      <c r="W716" s="4"/>
      <c r="X716" s="4"/>
      <c r="Y716" s="4"/>
      <c r="Z716" s="4"/>
    </row>
    <row r="717">
      <c r="A717" s="28"/>
      <c r="B717" s="2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7"/>
      <c r="V717" s="7"/>
      <c r="W717" s="4"/>
      <c r="X717" s="4"/>
      <c r="Y717" s="4"/>
      <c r="Z717" s="4"/>
    </row>
    <row r="718">
      <c r="A718" s="28"/>
      <c r="B718" s="2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7"/>
      <c r="V718" s="7"/>
      <c r="W718" s="4"/>
      <c r="X718" s="4"/>
      <c r="Y718" s="4"/>
      <c r="Z718" s="4"/>
    </row>
    <row r="719">
      <c r="A719" s="28"/>
      <c r="B719" s="2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7"/>
      <c r="V719" s="7"/>
      <c r="W719" s="4"/>
      <c r="X719" s="4"/>
      <c r="Y719" s="4"/>
      <c r="Z719" s="4"/>
    </row>
    <row r="720">
      <c r="A720" s="28"/>
      <c r="B720" s="2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7"/>
      <c r="V720" s="7"/>
      <c r="W720" s="4"/>
      <c r="X720" s="4"/>
      <c r="Y720" s="4"/>
      <c r="Z720" s="4"/>
    </row>
    <row r="721">
      <c r="A721" s="28"/>
      <c r="B721" s="2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7"/>
      <c r="V721" s="7"/>
      <c r="W721" s="4"/>
      <c r="X721" s="4"/>
      <c r="Y721" s="4"/>
      <c r="Z721" s="4"/>
    </row>
    <row r="722">
      <c r="A722" s="28"/>
      <c r="B722" s="2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7"/>
      <c r="V722" s="7"/>
      <c r="W722" s="4"/>
      <c r="X722" s="4"/>
      <c r="Y722" s="4"/>
      <c r="Z722" s="4"/>
    </row>
    <row r="723">
      <c r="A723" s="28"/>
      <c r="B723" s="2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7"/>
      <c r="V723" s="7"/>
      <c r="W723" s="4"/>
      <c r="X723" s="4"/>
      <c r="Y723" s="4"/>
      <c r="Z723" s="4"/>
    </row>
    <row r="724">
      <c r="A724" s="28"/>
      <c r="B724" s="2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7"/>
      <c r="V724" s="7"/>
      <c r="W724" s="4"/>
      <c r="X724" s="4"/>
      <c r="Y724" s="4"/>
      <c r="Z724" s="4"/>
    </row>
    <row r="725">
      <c r="A725" s="28"/>
      <c r="B725" s="2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7"/>
      <c r="V725" s="7"/>
      <c r="W725" s="4"/>
      <c r="X725" s="4"/>
      <c r="Y725" s="4"/>
      <c r="Z725" s="4"/>
    </row>
    <row r="726">
      <c r="A726" s="28"/>
      <c r="B726" s="2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7"/>
      <c r="V726" s="7"/>
      <c r="W726" s="4"/>
      <c r="X726" s="4"/>
      <c r="Y726" s="4"/>
      <c r="Z726" s="4"/>
    </row>
    <row r="727">
      <c r="A727" s="28"/>
      <c r="B727" s="2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7"/>
      <c r="V727" s="7"/>
      <c r="W727" s="4"/>
      <c r="X727" s="4"/>
      <c r="Y727" s="4"/>
      <c r="Z727" s="4"/>
    </row>
    <row r="728">
      <c r="A728" s="28"/>
      <c r="B728" s="2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7"/>
      <c r="V728" s="7"/>
      <c r="W728" s="4"/>
      <c r="X728" s="4"/>
      <c r="Y728" s="4"/>
      <c r="Z728" s="4"/>
    </row>
    <row r="729">
      <c r="A729" s="28"/>
      <c r="B729" s="2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7"/>
      <c r="V729" s="7"/>
      <c r="W729" s="4"/>
      <c r="X729" s="4"/>
      <c r="Y729" s="4"/>
      <c r="Z729" s="4"/>
    </row>
    <row r="730">
      <c r="A730" s="28"/>
      <c r="B730" s="2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7"/>
      <c r="V730" s="7"/>
      <c r="W730" s="4"/>
      <c r="X730" s="4"/>
      <c r="Y730" s="4"/>
      <c r="Z730" s="4"/>
    </row>
    <row r="731">
      <c r="A731" s="28"/>
      <c r="B731" s="2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7"/>
      <c r="V731" s="7"/>
      <c r="W731" s="4"/>
      <c r="X731" s="4"/>
      <c r="Y731" s="4"/>
      <c r="Z731" s="4"/>
    </row>
    <row r="732">
      <c r="A732" s="28"/>
      <c r="B732" s="2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7"/>
      <c r="V732" s="7"/>
      <c r="W732" s="4"/>
      <c r="X732" s="4"/>
      <c r="Y732" s="4"/>
      <c r="Z732" s="4"/>
    </row>
    <row r="733">
      <c r="A733" s="28"/>
      <c r="B733" s="2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7"/>
      <c r="V733" s="7"/>
      <c r="W733" s="4"/>
      <c r="X733" s="4"/>
      <c r="Y733" s="4"/>
      <c r="Z733" s="4"/>
    </row>
    <row r="734">
      <c r="A734" s="28"/>
      <c r="B734" s="2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7"/>
      <c r="V734" s="7"/>
      <c r="W734" s="4"/>
      <c r="X734" s="4"/>
      <c r="Y734" s="4"/>
      <c r="Z734" s="4"/>
    </row>
    <row r="735">
      <c r="A735" s="28"/>
      <c r="B735" s="2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7"/>
      <c r="V735" s="7"/>
      <c r="W735" s="4"/>
      <c r="X735" s="4"/>
      <c r="Y735" s="4"/>
      <c r="Z735" s="4"/>
    </row>
    <row r="736">
      <c r="A736" s="28"/>
      <c r="B736" s="2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7"/>
      <c r="V736" s="7"/>
      <c r="W736" s="4"/>
      <c r="X736" s="4"/>
      <c r="Y736" s="4"/>
      <c r="Z736" s="4"/>
    </row>
    <row r="737">
      <c r="A737" s="28"/>
      <c r="B737" s="2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7"/>
      <c r="V737" s="7"/>
      <c r="W737" s="4"/>
      <c r="X737" s="4"/>
      <c r="Y737" s="4"/>
      <c r="Z737" s="4"/>
    </row>
    <row r="738">
      <c r="A738" s="28"/>
      <c r="B738" s="2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7"/>
      <c r="V738" s="7"/>
      <c r="W738" s="4"/>
      <c r="X738" s="4"/>
      <c r="Y738" s="4"/>
      <c r="Z738" s="4"/>
    </row>
    <row r="739">
      <c r="A739" s="28"/>
      <c r="B739" s="2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7"/>
      <c r="V739" s="7"/>
      <c r="W739" s="4"/>
      <c r="X739" s="4"/>
      <c r="Y739" s="4"/>
      <c r="Z739" s="4"/>
    </row>
    <row r="740">
      <c r="A740" s="28"/>
      <c r="B740" s="2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7"/>
      <c r="V740" s="7"/>
      <c r="W740" s="4"/>
      <c r="X740" s="4"/>
      <c r="Y740" s="4"/>
      <c r="Z740" s="4"/>
    </row>
    <row r="741">
      <c r="A741" s="28"/>
      <c r="B741" s="2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7"/>
      <c r="V741" s="7"/>
      <c r="W741" s="4"/>
      <c r="X741" s="4"/>
      <c r="Y741" s="4"/>
      <c r="Z741" s="4"/>
    </row>
    <row r="742">
      <c r="A742" s="28"/>
      <c r="B742" s="2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7"/>
      <c r="V742" s="7"/>
      <c r="W742" s="4"/>
      <c r="X742" s="4"/>
      <c r="Y742" s="4"/>
      <c r="Z742" s="4"/>
    </row>
    <row r="743">
      <c r="A743" s="28"/>
      <c r="B743" s="2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7"/>
      <c r="V743" s="7"/>
      <c r="W743" s="4"/>
      <c r="X743" s="4"/>
      <c r="Y743" s="4"/>
      <c r="Z743" s="4"/>
    </row>
    <row r="744">
      <c r="A744" s="28"/>
      <c r="B744" s="2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7"/>
      <c r="V744" s="7"/>
      <c r="W744" s="4"/>
      <c r="X744" s="4"/>
      <c r="Y744" s="4"/>
      <c r="Z744" s="4"/>
    </row>
    <row r="745">
      <c r="A745" s="28"/>
      <c r="B745" s="2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7"/>
      <c r="V745" s="7"/>
      <c r="W745" s="4"/>
      <c r="X745" s="4"/>
      <c r="Y745" s="4"/>
      <c r="Z745" s="4"/>
    </row>
    <row r="746">
      <c r="A746" s="28"/>
      <c r="B746" s="2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7"/>
      <c r="V746" s="7"/>
      <c r="W746" s="4"/>
      <c r="X746" s="4"/>
      <c r="Y746" s="4"/>
      <c r="Z746" s="4"/>
    </row>
    <row r="747">
      <c r="A747" s="28"/>
      <c r="B747" s="2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7"/>
      <c r="V747" s="7"/>
      <c r="W747" s="4"/>
      <c r="X747" s="4"/>
      <c r="Y747" s="4"/>
      <c r="Z747" s="4"/>
    </row>
    <row r="748">
      <c r="A748" s="28"/>
      <c r="B748" s="2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7"/>
      <c r="V748" s="7"/>
      <c r="W748" s="4"/>
      <c r="X748" s="4"/>
      <c r="Y748" s="4"/>
      <c r="Z748" s="4"/>
    </row>
    <row r="749">
      <c r="A749" s="28"/>
      <c r="B749" s="2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7"/>
      <c r="V749" s="7"/>
      <c r="W749" s="4"/>
      <c r="X749" s="4"/>
      <c r="Y749" s="4"/>
      <c r="Z749" s="4"/>
    </row>
    <row r="750">
      <c r="A750" s="28"/>
      <c r="B750" s="2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7"/>
      <c r="V750" s="7"/>
      <c r="W750" s="4"/>
      <c r="X750" s="4"/>
      <c r="Y750" s="4"/>
      <c r="Z750" s="4"/>
    </row>
    <row r="751">
      <c r="A751" s="28"/>
      <c r="B751" s="2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7"/>
      <c r="V751" s="7"/>
      <c r="W751" s="4"/>
      <c r="X751" s="4"/>
      <c r="Y751" s="4"/>
      <c r="Z751" s="4"/>
    </row>
    <row r="752">
      <c r="A752" s="28"/>
      <c r="B752" s="2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7"/>
      <c r="V752" s="7"/>
      <c r="W752" s="4"/>
      <c r="X752" s="4"/>
      <c r="Y752" s="4"/>
      <c r="Z752" s="4"/>
    </row>
    <row r="753">
      <c r="A753" s="28"/>
      <c r="B753" s="2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7"/>
      <c r="V753" s="7"/>
      <c r="W753" s="4"/>
      <c r="X753" s="4"/>
      <c r="Y753" s="4"/>
      <c r="Z753" s="4"/>
    </row>
    <row r="754">
      <c r="A754" s="28"/>
      <c r="B754" s="2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7"/>
      <c r="V754" s="7"/>
      <c r="W754" s="4"/>
      <c r="X754" s="4"/>
      <c r="Y754" s="4"/>
      <c r="Z754" s="4"/>
    </row>
    <row r="755">
      <c r="A755" s="28"/>
      <c r="B755" s="2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7"/>
      <c r="V755" s="7"/>
      <c r="W755" s="4"/>
      <c r="X755" s="4"/>
      <c r="Y755" s="4"/>
      <c r="Z755" s="4"/>
    </row>
    <row r="756">
      <c r="A756" s="28"/>
      <c r="B756" s="2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7"/>
      <c r="V756" s="7"/>
      <c r="W756" s="4"/>
      <c r="X756" s="4"/>
      <c r="Y756" s="4"/>
      <c r="Z756" s="4"/>
    </row>
    <row r="757">
      <c r="A757" s="28"/>
      <c r="B757" s="2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7"/>
      <c r="V757" s="7"/>
      <c r="W757" s="4"/>
      <c r="X757" s="4"/>
      <c r="Y757" s="4"/>
      <c r="Z757" s="4"/>
    </row>
    <row r="758">
      <c r="A758" s="28"/>
      <c r="B758" s="2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7"/>
      <c r="V758" s="7"/>
      <c r="W758" s="4"/>
      <c r="X758" s="4"/>
      <c r="Y758" s="4"/>
      <c r="Z758" s="4"/>
    </row>
    <row r="759">
      <c r="A759" s="28"/>
      <c r="B759" s="2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7"/>
      <c r="V759" s="7"/>
      <c r="W759" s="4"/>
      <c r="X759" s="4"/>
      <c r="Y759" s="4"/>
      <c r="Z759" s="4"/>
    </row>
    <row r="760">
      <c r="A760" s="28"/>
      <c r="B760" s="2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7"/>
      <c r="V760" s="7"/>
      <c r="W760" s="4"/>
      <c r="X760" s="4"/>
      <c r="Y760" s="4"/>
      <c r="Z760" s="4"/>
    </row>
    <row r="761">
      <c r="A761" s="28"/>
      <c r="B761" s="2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7"/>
      <c r="V761" s="7"/>
      <c r="W761" s="4"/>
      <c r="X761" s="4"/>
      <c r="Y761" s="4"/>
      <c r="Z761" s="4"/>
    </row>
    <row r="762">
      <c r="A762" s="28"/>
      <c r="B762" s="2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7"/>
      <c r="V762" s="7"/>
      <c r="W762" s="4"/>
      <c r="X762" s="4"/>
      <c r="Y762" s="4"/>
      <c r="Z762" s="4"/>
    </row>
    <row r="763">
      <c r="A763" s="28"/>
      <c r="B763" s="2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7"/>
      <c r="V763" s="7"/>
      <c r="W763" s="4"/>
      <c r="X763" s="4"/>
      <c r="Y763" s="4"/>
      <c r="Z763" s="4"/>
    </row>
    <row r="764">
      <c r="A764" s="28"/>
      <c r="B764" s="2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7"/>
      <c r="V764" s="7"/>
      <c r="W764" s="4"/>
      <c r="X764" s="4"/>
      <c r="Y764" s="4"/>
      <c r="Z764" s="4"/>
    </row>
    <row r="765">
      <c r="A765" s="28"/>
      <c r="B765" s="2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7"/>
      <c r="V765" s="7"/>
      <c r="W765" s="4"/>
      <c r="X765" s="4"/>
      <c r="Y765" s="4"/>
      <c r="Z765" s="4"/>
    </row>
    <row r="766">
      <c r="A766" s="28"/>
      <c r="B766" s="2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7"/>
      <c r="V766" s="7"/>
      <c r="W766" s="4"/>
      <c r="X766" s="4"/>
      <c r="Y766" s="4"/>
      <c r="Z766" s="4"/>
    </row>
    <row r="767">
      <c r="A767" s="28"/>
      <c r="B767" s="2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7"/>
      <c r="V767" s="7"/>
      <c r="W767" s="4"/>
      <c r="X767" s="4"/>
      <c r="Y767" s="4"/>
      <c r="Z767" s="4"/>
    </row>
    <row r="768">
      <c r="A768" s="28"/>
      <c r="B768" s="2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7"/>
      <c r="V768" s="7"/>
      <c r="W768" s="4"/>
      <c r="X768" s="4"/>
      <c r="Y768" s="4"/>
      <c r="Z768" s="4"/>
    </row>
    <row r="769">
      <c r="A769" s="28"/>
      <c r="B769" s="2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7"/>
      <c r="V769" s="7"/>
      <c r="W769" s="4"/>
      <c r="X769" s="4"/>
      <c r="Y769" s="4"/>
      <c r="Z769" s="4"/>
    </row>
    <row r="770">
      <c r="A770" s="28"/>
      <c r="B770" s="2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7"/>
      <c r="V770" s="7"/>
      <c r="W770" s="4"/>
      <c r="X770" s="4"/>
      <c r="Y770" s="4"/>
      <c r="Z770" s="4"/>
    </row>
    <row r="771">
      <c r="A771" s="28"/>
      <c r="B771" s="2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7"/>
      <c r="V771" s="7"/>
      <c r="W771" s="4"/>
      <c r="X771" s="4"/>
      <c r="Y771" s="4"/>
      <c r="Z771" s="4"/>
    </row>
    <row r="772">
      <c r="A772" s="28"/>
      <c r="B772" s="2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7"/>
      <c r="V772" s="7"/>
      <c r="W772" s="4"/>
      <c r="X772" s="4"/>
      <c r="Y772" s="4"/>
      <c r="Z772" s="4"/>
    </row>
    <row r="773">
      <c r="A773" s="28"/>
      <c r="B773" s="2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7"/>
      <c r="V773" s="7"/>
      <c r="W773" s="4"/>
      <c r="X773" s="4"/>
      <c r="Y773" s="4"/>
      <c r="Z773" s="4"/>
    </row>
    <row r="774">
      <c r="A774" s="28"/>
      <c r="B774" s="2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7"/>
      <c r="V774" s="7"/>
      <c r="W774" s="4"/>
      <c r="X774" s="4"/>
      <c r="Y774" s="4"/>
      <c r="Z774" s="4"/>
    </row>
    <row r="775">
      <c r="A775" s="28"/>
      <c r="B775" s="2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7"/>
      <c r="V775" s="7"/>
      <c r="W775" s="4"/>
      <c r="X775" s="4"/>
      <c r="Y775" s="4"/>
      <c r="Z775" s="4"/>
    </row>
    <row r="776">
      <c r="A776" s="28"/>
      <c r="B776" s="2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7"/>
      <c r="V776" s="7"/>
      <c r="W776" s="4"/>
      <c r="X776" s="4"/>
      <c r="Y776" s="4"/>
      <c r="Z776" s="4"/>
    </row>
    <row r="777">
      <c r="A777" s="28"/>
      <c r="B777" s="2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7"/>
      <c r="V777" s="7"/>
      <c r="W777" s="4"/>
      <c r="X777" s="4"/>
      <c r="Y777" s="4"/>
      <c r="Z777" s="4"/>
    </row>
    <row r="778">
      <c r="A778" s="28"/>
      <c r="B778" s="2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7"/>
      <c r="V778" s="7"/>
      <c r="W778" s="4"/>
      <c r="X778" s="4"/>
      <c r="Y778" s="4"/>
      <c r="Z778" s="4"/>
    </row>
    <row r="779">
      <c r="A779" s="28"/>
      <c r="B779" s="2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7"/>
      <c r="V779" s="7"/>
      <c r="W779" s="4"/>
      <c r="X779" s="4"/>
      <c r="Y779" s="4"/>
      <c r="Z779" s="4"/>
    </row>
    <row r="780">
      <c r="A780" s="28"/>
      <c r="B780" s="2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7"/>
      <c r="V780" s="7"/>
      <c r="W780" s="4"/>
      <c r="X780" s="4"/>
      <c r="Y780" s="4"/>
      <c r="Z780" s="4"/>
    </row>
    <row r="781">
      <c r="A781" s="28"/>
      <c r="B781" s="2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7"/>
      <c r="V781" s="7"/>
      <c r="W781" s="4"/>
      <c r="X781" s="4"/>
      <c r="Y781" s="4"/>
      <c r="Z781" s="4"/>
    </row>
    <row r="782">
      <c r="A782" s="28"/>
      <c r="B782" s="2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7"/>
      <c r="V782" s="7"/>
      <c r="W782" s="4"/>
      <c r="X782" s="4"/>
      <c r="Y782" s="4"/>
      <c r="Z782" s="4"/>
    </row>
    <row r="783">
      <c r="A783" s="28"/>
      <c r="B783" s="2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7"/>
      <c r="V783" s="7"/>
      <c r="W783" s="4"/>
      <c r="X783" s="4"/>
      <c r="Y783" s="4"/>
      <c r="Z783" s="4"/>
    </row>
    <row r="784">
      <c r="A784" s="28"/>
      <c r="B784" s="2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7"/>
      <c r="V784" s="7"/>
      <c r="W784" s="4"/>
      <c r="X784" s="4"/>
      <c r="Y784" s="4"/>
      <c r="Z784" s="4"/>
    </row>
    <row r="785">
      <c r="A785" s="28"/>
      <c r="B785" s="2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7"/>
      <c r="V785" s="7"/>
      <c r="W785" s="4"/>
      <c r="X785" s="4"/>
      <c r="Y785" s="4"/>
      <c r="Z785" s="4"/>
    </row>
    <row r="786">
      <c r="A786" s="28"/>
      <c r="B786" s="2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7"/>
      <c r="V786" s="7"/>
      <c r="W786" s="4"/>
      <c r="X786" s="4"/>
      <c r="Y786" s="4"/>
      <c r="Z786" s="4"/>
    </row>
    <row r="787">
      <c r="A787" s="28"/>
      <c r="B787" s="2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7"/>
      <c r="V787" s="7"/>
      <c r="W787" s="4"/>
      <c r="X787" s="4"/>
      <c r="Y787" s="4"/>
      <c r="Z787" s="4"/>
    </row>
    <row r="788">
      <c r="A788" s="28"/>
      <c r="B788" s="2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7"/>
      <c r="V788" s="7"/>
      <c r="W788" s="4"/>
      <c r="X788" s="4"/>
      <c r="Y788" s="4"/>
      <c r="Z788" s="4"/>
    </row>
    <row r="789">
      <c r="A789" s="28"/>
      <c r="B789" s="2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7"/>
      <c r="V789" s="7"/>
      <c r="W789" s="4"/>
      <c r="X789" s="4"/>
      <c r="Y789" s="4"/>
      <c r="Z789" s="4"/>
    </row>
    <row r="790">
      <c r="A790" s="28"/>
      <c r="B790" s="2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7"/>
      <c r="V790" s="7"/>
      <c r="W790" s="4"/>
      <c r="X790" s="4"/>
      <c r="Y790" s="4"/>
      <c r="Z790" s="4"/>
    </row>
    <row r="791">
      <c r="A791" s="28"/>
      <c r="B791" s="2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7"/>
      <c r="V791" s="7"/>
      <c r="W791" s="4"/>
      <c r="X791" s="4"/>
      <c r="Y791" s="4"/>
      <c r="Z791" s="4"/>
    </row>
    <row r="792">
      <c r="A792" s="28"/>
      <c r="B792" s="2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7"/>
      <c r="V792" s="7"/>
      <c r="W792" s="4"/>
      <c r="X792" s="4"/>
      <c r="Y792" s="4"/>
      <c r="Z792" s="4"/>
    </row>
    <row r="793">
      <c r="A793" s="28"/>
      <c r="B793" s="2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7"/>
      <c r="V793" s="7"/>
      <c r="W793" s="4"/>
      <c r="X793" s="4"/>
      <c r="Y793" s="4"/>
      <c r="Z793" s="4"/>
    </row>
    <row r="794">
      <c r="A794" s="28"/>
      <c r="B794" s="2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7"/>
      <c r="V794" s="7"/>
      <c r="W794" s="4"/>
      <c r="X794" s="4"/>
      <c r="Y794" s="4"/>
      <c r="Z794" s="4"/>
    </row>
    <row r="795">
      <c r="A795" s="28"/>
      <c r="B795" s="2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7"/>
      <c r="V795" s="7"/>
      <c r="W795" s="4"/>
      <c r="X795" s="4"/>
      <c r="Y795" s="4"/>
      <c r="Z795" s="4"/>
    </row>
    <row r="796">
      <c r="A796" s="28"/>
      <c r="B796" s="2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7"/>
      <c r="V796" s="7"/>
      <c r="W796" s="4"/>
      <c r="X796" s="4"/>
      <c r="Y796" s="4"/>
      <c r="Z796" s="4"/>
    </row>
    <row r="797">
      <c r="A797" s="28"/>
      <c r="B797" s="2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7"/>
      <c r="V797" s="7"/>
      <c r="W797" s="4"/>
      <c r="X797" s="4"/>
      <c r="Y797" s="4"/>
      <c r="Z797" s="4"/>
    </row>
    <row r="798">
      <c r="A798" s="28"/>
      <c r="B798" s="2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7"/>
      <c r="V798" s="7"/>
      <c r="W798" s="4"/>
      <c r="X798" s="4"/>
      <c r="Y798" s="4"/>
      <c r="Z798" s="4"/>
    </row>
    <row r="799">
      <c r="A799" s="28"/>
      <c r="B799" s="2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7"/>
      <c r="V799" s="7"/>
      <c r="W799" s="4"/>
      <c r="X799" s="4"/>
      <c r="Y799" s="4"/>
      <c r="Z799" s="4"/>
    </row>
    <row r="800">
      <c r="A800" s="28"/>
      <c r="B800" s="2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7"/>
      <c r="V800" s="7"/>
      <c r="W800" s="4"/>
      <c r="X800" s="4"/>
      <c r="Y800" s="4"/>
      <c r="Z800" s="4"/>
    </row>
    <row r="801">
      <c r="A801" s="28"/>
      <c r="B801" s="2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7"/>
      <c r="V801" s="7"/>
      <c r="W801" s="4"/>
      <c r="X801" s="4"/>
      <c r="Y801" s="4"/>
      <c r="Z801" s="4"/>
    </row>
    <row r="802">
      <c r="A802" s="28"/>
      <c r="B802" s="2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7"/>
      <c r="V802" s="7"/>
      <c r="W802" s="4"/>
      <c r="X802" s="4"/>
      <c r="Y802" s="4"/>
      <c r="Z802" s="4"/>
    </row>
    <row r="803">
      <c r="A803" s="28"/>
      <c r="B803" s="2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7"/>
      <c r="V803" s="7"/>
      <c r="W803" s="4"/>
      <c r="X803" s="4"/>
      <c r="Y803" s="4"/>
      <c r="Z803" s="4"/>
    </row>
    <row r="804">
      <c r="A804" s="28"/>
      <c r="B804" s="2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7"/>
      <c r="V804" s="7"/>
      <c r="W804" s="4"/>
      <c r="X804" s="4"/>
      <c r="Y804" s="4"/>
      <c r="Z804" s="4"/>
    </row>
    <row r="805">
      <c r="A805" s="28"/>
      <c r="B805" s="2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7"/>
      <c r="V805" s="7"/>
      <c r="W805" s="4"/>
      <c r="X805" s="4"/>
      <c r="Y805" s="4"/>
      <c r="Z805" s="4"/>
    </row>
    <row r="806">
      <c r="A806" s="28"/>
      <c r="B806" s="2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7"/>
      <c r="V806" s="7"/>
      <c r="W806" s="4"/>
      <c r="X806" s="4"/>
      <c r="Y806" s="4"/>
      <c r="Z806" s="4"/>
    </row>
    <row r="807">
      <c r="A807" s="28"/>
      <c r="B807" s="2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7"/>
      <c r="V807" s="7"/>
      <c r="W807" s="4"/>
      <c r="X807" s="4"/>
      <c r="Y807" s="4"/>
      <c r="Z807" s="4"/>
    </row>
    <row r="808">
      <c r="A808" s="28"/>
      <c r="B808" s="2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7"/>
      <c r="V808" s="7"/>
      <c r="W808" s="4"/>
      <c r="X808" s="4"/>
      <c r="Y808" s="4"/>
      <c r="Z808" s="4"/>
    </row>
    <row r="809">
      <c r="A809" s="28"/>
      <c r="B809" s="2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7"/>
      <c r="V809" s="7"/>
      <c r="W809" s="4"/>
      <c r="X809" s="4"/>
      <c r="Y809" s="4"/>
      <c r="Z809" s="4"/>
    </row>
    <row r="810">
      <c r="A810" s="28"/>
      <c r="B810" s="2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7"/>
      <c r="V810" s="7"/>
      <c r="W810" s="4"/>
      <c r="X810" s="4"/>
      <c r="Y810" s="4"/>
      <c r="Z810" s="4"/>
    </row>
    <row r="811">
      <c r="A811" s="28"/>
      <c r="B811" s="2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7"/>
      <c r="V811" s="7"/>
      <c r="W811" s="4"/>
      <c r="X811" s="4"/>
      <c r="Y811" s="4"/>
      <c r="Z811" s="4"/>
    </row>
    <row r="812">
      <c r="A812" s="28"/>
      <c r="B812" s="2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7"/>
      <c r="V812" s="7"/>
      <c r="W812" s="4"/>
      <c r="X812" s="4"/>
      <c r="Y812" s="4"/>
      <c r="Z812" s="4"/>
    </row>
    <row r="813">
      <c r="A813" s="28"/>
      <c r="B813" s="2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7"/>
      <c r="V813" s="7"/>
      <c r="W813" s="4"/>
      <c r="X813" s="4"/>
      <c r="Y813" s="4"/>
      <c r="Z813" s="4"/>
    </row>
    <row r="814">
      <c r="A814" s="28"/>
      <c r="B814" s="2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7"/>
      <c r="V814" s="7"/>
      <c r="W814" s="4"/>
      <c r="X814" s="4"/>
      <c r="Y814" s="4"/>
      <c r="Z814" s="4"/>
    </row>
    <row r="815">
      <c r="A815" s="28"/>
      <c r="B815" s="2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7"/>
      <c r="V815" s="7"/>
      <c r="W815" s="4"/>
      <c r="X815" s="4"/>
      <c r="Y815" s="4"/>
      <c r="Z815" s="4"/>
    </row>
    <row r="816">
      <c r="A816" s="28"/>
      <c r="B816" s="2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7"/>
      <c r="V816" s="7"/>
      <c r="W816" s="4"/>
      <c r="X816" s="4"/>
      <c r="Y816" s="4"/>
      <c r="Z816" s="4"/>
    </row>
    <row r="817">
      <c r="A817" s="28"/>
      <c r="B817" s="2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7"/>
      <c r="V817" s="7"/>
      <c r="W817" s="4"/>
      <c r="X817" s="4"/>
      <c r="Y817" s="4"/>
      <c r="Z817" s="4"/>
    </row>
    <row r="818">
      <c r="A818" s="28"/>
      <c r="B818" s="2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7"/>
      <c r="V818" s="7"/>
      <c r="W818" s="4"/>
      <c r="X818" s="4"/>
      <c r="Y818" s="4"/>
      <c r="Z818" s="4"/>
    </row>
    <row r="819">
      <c r="A819" s="28"/>
      <c r="B819" s="2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7"/>
      <c r="V819" s="7"/>
      <c r="W819" s="4"/>
      <c r="X819" s="4"/>
      <c r="Y819" s="4"/>
      <c r="Z819" s="4"/>
    </row>
    <row r="820">
      <c r="A820" s="28"/>
      <c r="B820" s="2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7"/>
      <c r="V820" s="7"/>
      <c r="W820" s="4"/>
      <c r="X820" s="4"/>
      <c r="Y820" s="4"/>
      <c r="Z820" s="4"/>
    </row>
    <row r="821">
      <c r="A821" s="28"/>
      <c r="B821" s="2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7"/>
      <c r="V821" s="7"/>
      <c r="W821" s="4"/>
      <c r="X821" s="4"/>
      <c r="Y821" s="4"/>
      <c r="Z821" s="4"/>
    </row>
    <row r="822">
      <c r="A822" s="28"/>
      <c r="B822" s="2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7"/>
      <c r="V822" s="7"/>
      <c r="W822" s="4"/>
      <c r="X822" s="4"/>
      <c r="Y822" s="4"/>
      <c r="Z822" s="4"/>
    </row>
    <row r="823">
      <c r="A823" s="28"/>
      <c r="B823" s="2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7"/>
      <c r="V823" s="7"/>
      <c r="W823" s="4"/>
      <c r="X823" s="4"/>
      <c r="Y823" s="4"/>
      <c r="Z823" s="4"/>
    </row>
    <row r="824">
      <c r="A824" s="28"/>
      <c r="B824" s="2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7"/>
      <c r="V824" s="7"/>
      <c r="W824" s="4"/>
      <c r="X824" s="4"/>
      <c r="Y824" s="4"/>
      <c r="Z824" s="4"/>
    </row>
    <row r="825">
      <c r="A825" s="28"/>
      <c r="B825" s="2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7"/>
      <c r="V825" s="7"/>
      <c r="W825" s="4"/>
      <c r="X825" s="4"/>
      <c r="Y825" s="4"/>
      <c r="Z825" s="4"/>
    </row>
    <row r="826">
      <c r="A826" s="28"/>
      <c r="B826" s="2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7"/>
      <c r="V826" s="7"/>
      <c r="W826" s="4"/>
      <c r="X826" s="4"/>
      <c r="Y826" s="4"/>
      <c r="Z826" s="4"/>
    </row>
    <row r="827">
      <c r="A827" s="28"/>
      <c r="B827" s="2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7"/>
      <c r="V827" s="7"/>
      <c r="W827" s="4"/>
      <c r="X827" s="4"/>
      <c r="Y827" s="4"/>
      <c r="Z827" s="4"/>
    </row>
    <row r="828">
      <c r="A828" s="28"/>
      <c r="B828" s="2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7"/>
      <c r="V828" s="7"/>
      <c r="W828" s="4"/>
      <c r="X828" s="4"/>
      <c r="Y828" s="4"/>
      <c r="Z828" s="4"/>
    </row>
    <row r="829">
      <c r="A829" s="28"/>
      <c r="B829" s="2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7"/>
      <c r="V829" s="7"/>
      <c r="W829" s="4"/>
      <c r="X829" s="4"/>
      <c r="Y829" s="4"/>
      <c r="Z829" s="4"/>
    </row>
    <row r="830">
      <c r="A830" s="28"/>
      <c r="B830" s="2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7"/>
      <c r="V830" s="7"/>
      <c r="W830" s="4"/>
      <c r="X830" s="4"/>
      <c r="Y830" s="4"/>
      <c r="Z830" s="4"/>
    </row>
    <row r="831">
      <c r="A831" s="28"/>
      <c r="B831" s="2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7"/>
      <c r="V831" s="7"/>
      <c r="W831" s="4"/>
      <c r="X831" s="4"/>
      <c r="Y831" s="4"/>
      <c r="Z831" s="4"/>
    </row>
    <row r="832">
      <c r="A832" s="28"/>
      <c r="B832" s="2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7"/>
      <c r="V832" s="7"/>
      <c r="W832" s="4"/>
      <c r="X832" s="4"/>
      <c r="Y832" s="4"/>
      <c r="Z832" s="4"/>
    </row>
    <row r="833">
      <c r="A833" s="28"/>
      <c r="B833" s="2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7"/>
      <c r="V833" s="7"/>
      <c r="W833" s="4"/>
      <c r="X833" s="4"/>
      <c r="Y833" s="4"/>
      <c r="Z833" s="4"/>
    </row>
    <row r="834">
      <c r="A834" s="28"/>
      <c r="B834" s="2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7"/>
      <c r="V834" s="7"/>
      <c r="W834" s="4"/>
      <c r="X834" s="4"/>
      <c r="Y834" s="4"/>
      <c r="Z834" s="4"/>
    </row>
    <row r="835">
      <c r="A835" s="28"/>
      <c r="B835" s="2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7"/>
      <c r="V835" s="7"/>
      <c r="W835" s="4"/>
      <c r="X835" s="4"/>
      <c r="Y835" s="4"/>
      <c r="Z835" s="4"/>
    </row>
    <row r="836">
      <c r="A836" s="28"/>
      <c r="B836" s="2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7"/>
      <c r="V836" s="7"/>
      <c r="W836" s="4"/>
      <c r="X836" s="4"/>
      <c r="Y836" s="4"/>
      <c r="Z836" s="4"/>
    </row>
    <row r="837">
      <c r="A837" s="28"/>
      <c r="B837" s="2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7"/>
      <c r="V837" s="7"/>
      <c r="W837" s="4"/>
      <c r="X837" s="4"/>
      <c r="Y837" s="4"/>
      <c r="Z837" s="4"/>
    </row>
    <row r="838">
      <c r="A838" s="28"/>
      <c r="B838" s="2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7"/>
      <c r="V838" s="7"/>
      <c r="W838" s="4"/>
      <c r="X838" s="4"/>
      <c r="Y838" s="4"/>
      <c r="Z838" s="4"/>
    </row>
    <row r="839">
      <c r="A839" s="28"/>
      <c r="B839" s="2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7"/>
      <c r="V839" s="7"/>
      <c r="W839" s="4"/>
      <c r="X839" s="4"/>
      <c r="Y839" s="4"/>
      <c r="Z839" s="4"/>
    </row>
    <row r="840">
      <c r="A840" s="28"/>
      <c r="B840" s="2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7"/>
      <c r="V840" s="7"/>
      <c r="W840" s="4"/>
      <c r="X840" s="4"/>
      <c r="Y840" s="4"/>
      <c r="Z840" s="4"/>
    </row>
    <row r="841">
      <c r="A841" s="28"/>
      <c r="B841" s="2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7"/>
      <c r="V841" s="7"/>
      <c r="W841" s="4"/>
      <c r="X841" s="4"/>
      <c r="Y841" s="4"/>
      <c r="Z841" s="4"/>
    </row>
    <row r="842">
      <c r="A842" s="28"/>
      <c r="B842" s="2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7"/>
      <c r="V842" s="7"/>
      <c r="W842" s="4"/>
      <c r="X842" s="4"/>
      <c r="Y842" s="4"/>
      <c r="Z842" s="4"/>
    </row>
    <row r="843">
      <c r="A843" s="28"/>
      <c r="B843" s="2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7"/>
      <c r="V843" s="7"/>
      <c r="W843" s="4"/>
      <c r="X843" s="4"/>
      <c r="Y843" s="4"/>
      <c r="Z843" s="4"/>
    </row>
    <row r="844">
      <c r="A844" s="28"/>
      <c r="B844" s="2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7"/>
      <c r="V844" s="7"/>
      <c r="W844" s="4"/>
      <c r="X844" s="4"/>
      <c r="Y844" s="4"/>
      <c r="Z844" s="4"/>
    </row>
    <row r="845">
      <c r="A845" s="28"/>
      <c r="B845" s="2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7"/>
      <c r="V845" s="7"/>
      <c r="W845" s="4"/>
      <c r="X845" s="4"/>
      <c r="Y845" s="4"/>
      <c r="Z845" s="4"/>
    </row>
    <row r="846">
      <c r="A846" s="28"/>
      <c r="B846" s="2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7"/>
      <c r="V846" s="7"/>
      <c r="W846" s="4"/>
      <c r="X846" s="4"/>
      <c r="Y846" s="4"/>
      <c r="Z846" s="4"/>
    </row>
    <row r="847">
      <c r="A847" s="28"/>
      <c r="B847" s="2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7"/>
      <c r="V847" s="7"/>
      <c r="W847" s="4"/>
      <c r="X847" s="4"/>
      <c r="Y847" s="4"/>
      <c r="Z847" s="4"/>
    </row>
    <row r="848">
      <c r="A848" s="28"/>
      <c r="B848" s="2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7"/>
      <c r="V848" s="7"/>
      <c r="W848" s="4"/>
      <c r="X848" s="4"/>
      <c r="Y848" s="4"/>
      <c r="Z848" s="4"/>
    </row>
    <row r="849">
      <c r="A849" s="28"/>
      <c r="B849" s="2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7"/>
      <c r="V849" s="7"/>
      <c r="W849" s="4"/>
      <c r="X849" s="4"/>
      <c r="Y849" s="4"/>
      <c r="Z849" s="4"/>
    </row>
    <row r="850">
      <c r="A850" s="28"/>
      <c r="B850" s="2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7"/>
      <c r="V850" s="7"/>
      <c r="W850" s="4"/>
      <c r="X850" s="4"/>
      <c r="Y850" s="4"/>
      <c r="Z850" s="4"/>
    </row>
    <row r="851">
      <c r="A851" s="28"/>
      <c r="B851" s="2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7"/>
      <c r="V851" s="7"/>
      <c r="W851" s="4"/>
      <c r="X851" s="4"/>
      <c r="Y851" s="4"/>
      <c r="Z851" s="4"/>
    </row>
    <row r="852">
      <c r="A852" s="28"/>
      <c r="B852" s="2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7"/>
      <c r="V852" s="7"/>
      <c r="W852" s="4"/>
      <c r="X852" s="4"/>
      <c r="Y852" s="4"/>
      <c r="Z852" s="4"/>
    </row>
    <row r="853">
      <c r="A853" s="28"/>
      <c r="B853" s="2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7"/>
      <c r="V853" s="7"/>
      <c r="W853" s="4"/>
      <c r="X853" s="4"/>
      <c r="Y853" s="4"/>
      <c r="Z853" s="4"/>
    </row>
    <row r="854">
      <c r="A854" s="28"/>
      <c r="B854" s="2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7"/>
      <c r="V854" s="7"/>
      <c r="W854" s="4"/>
      <c r="X854" s="4"/>
      <c r="Y854" s="4"/>
      <c r="Z854" s="4"/>
    </row>
    <row r="855">
      <c r="A855" s="28"/>
      <c r="B855" s="2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7"/>
      <c r="V855" s="7"/>
      <c r="W855" s="4"/>
      <c r="X855" s="4"/>
      <c r="Y855" s="4"/>
      <c r="Z855" s="4"/>
    </row>
    <row r="856">
      <c r="A856" s="28"/>
      <c r="B856" s="2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7"/>
      <c r="V856" s="7"/>
      <c r="W856" s="4"/>
      <c r="X856" s="4"/>
      <c r="Y856" s="4"/>
      <c r="Z856" s="4"/>
    </row>
    <row r="857">
      <c r="A857" s="28"/>
      <c r="B857" s="2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7"/>
      <c r="V857" s="7"/>
      <c r="W857" s="4"/>
      <c r="X857" s="4"/>
      <c r="Y857" s="4"/>
      <c r="Z857" s="4"/>
    </row>
    <row r="858">
      <c r="A858" s="28"/>
      <c r="B858" s="2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7"/>
      <c r="V858" s="7"/>
      <c r="W858" s="4"/>
      <c r="X858" s="4"/>
      <c r="Y858" s="4"/>
      <c r="Z858" s="4"/>
    </row>
    <row r="859">
      <c r="A859" s="28"/>
      <c r="B859" s="2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7"/>
      <c r="V859" s="7"/>
      <c r="W859" s="4"/>
      <c r="X859" s="4"/>
      <c r="Y859" s="4"/>
      <c r="Z859" s="4"/>
    </row>
    <row r="860">
      <c r="A860" s="28"/>
      <c r="B860" s="2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7"/>
      <c r="V860" s="7"/>
      <c r="W860" s="4"/>
      <c r="X860" s="4"/>
      <c r="Y860" s="4"/>
      <c r="Z860" s="4"/>
    </row>
    <row r="861">
      <c r="A861" s="28"/>
      <c r="B861" s="2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7"/>
      <c r="V861" s="7"/>
      <c r="W861" s="4"/>
      <c r="X861" s="4"/>
      <c r="Y861" s="4"/>
      <c r="Z861" s="4"/>
    </row>
    <row r="862">
      <c r="A862" s="28"/>
      <c r="B862" s="2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7"/>
      <c r="V862" s="7"/>
      <c r="W862" s="4"/>
      <c r="X862" s="4"/>
      <c r="Y862" s="4"/>
      <c r="Z862" s="4"/>
    </row>
    <row r="863">
      <c r="A863" s="28"/>
      <c r="B863" s="2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7"/>
      <c r="V863" s="7"/>
      <c r="W863" s="4"/>
      <c r="X863" s="4"/>
      <c r="Y863" s="4"/>
      <c r="Z863" s="4"/>
    </row>
    <row r="864">
      <c r="A864" s="28"/>
      <c r="B864" s="2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7"/>
      <c r="V864" s="7"/>
      <c r="W864" s="4"/>
      <c r="X864" s="4"/>
      <c r="Y864" s="4"/>
      <c r="Z864" s="4"/>
    </row>
    <row r="865">
      <c r="A865" s="28"/>
      <c r="B865" s="2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7"/>
      <c r="V865" s="7"/>
      <c r="W865" s="4"/>
      <c r="X865" s="4"/>
      <c r="Y865" s="4"/>
      <c r="Z865" s="4"/>
    </row>
    <row r="866">
      <c r="A866" s="28"/>
      <c r="B866" s="2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7"/>
      <c r="V866" s="7"/>
      <c r="W866" s="4"/>
      <c r="X866" s="4"/>
      <c r="Y866" s="4"/>
      <c r="Z866" s="4"/>
    </row>
    <row r="867">
      <c r="A867" s="28"/>
      <c r="B867" s="2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7"/>
      <c r="V867" s="7"/>
      <c r="W867" s="4"/>
      <c r="X867" s="4"/>
      <c r="Y867" s="4"/>
      <c r="Z867" s="4"/>
    </row>
    <row r="868">
      <c r="A868" s="28"/>
      <c r="B868" s="2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7"/>
      <c r="V868" s="7"/>
      <c r="W868" s="4"/>
      <c r="X868" s="4"/>
      <c r="Y868" s="4"/>
      <c r="Z868" s="4"/>
    </row>
    <row r="869">
      <c r="A869" s="28"/>
      <c r="B869" s="2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7"/>
      <c r="V869" s="7"/>
      <c r="W869" s="4"/>
      <c r="X869" s="4"/>
      <c r="Y869" s="4"/>
      <c r="Z869" s="4"/>
    </row>
    <row r="870">
      <c r="A870" s="28"/>
      <c r="B870" s="2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7"/>
      <c r="V870" s="7"/>
      <c r="W870" s="4"/>
      <c r="X870" s="4"/>
      <c r="Y870" s="4"/>
      <c r="Z870" s="4"/>
    </row>
    <row r="871">
      <c r="A871" s="28"/>
      <c r="B871" s="2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7"/>
      <c r="V871" s="7"/>
      <c r="W871" s="4"/>
      <c r="X871" s="4"/>
      <c r="Y871" s="4"/>
      <c r="Z871" s="4"/>
    </row>
    <row r="872">
      <c r="A872" s="28"/>
      <c r="B872" s="2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7"/>
      <c r="V872" s="7"/>
      <c r="W872" s="4"/>
      <c r="X872" s="4"/>
      <c r="Y872" s="4"/>
      <c r="Z872" s="4"/>
    </row>
    <row r="873">
      <c r="A873" s="28"/>
      <c r="B873" s="2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7"/>
      <c r="V873" s="7"/>
      <c r="W873" s="4"/>
      <c r="X873" s="4"/>
      <c r="Y873" s="4"/>
      <c r="Z873" s="4"/>
    </row>
    <row r="874">
      <c r="A874" s="28"/>
      <c r="B874" s="2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7"/>
      <c r="V874" s="7"/>
      <c r="W874" s="4"/>
      <c r="X874" s="4"/>
      <c r="Y874" s="4"/>
      <c r="Z874" s="4"/>
    </row>
    <row r="875">
      <c r="A875" s="28"/>
      <c r="B875" s="2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7"/>
      <c r="V875" s="7"/>
      <c r="W875" s="4"/>
      <c r="X875" s="4"/>
      <c r="Y875" s="4"/>
      <c r="Z875" s="4"/>
    </row>
    <row r="876">
      <c r="A876" s="28"/>
      <c r="B876" s="2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7"/>
      <c r="V876" s="7"/>
      <c r="W876" s="4"/>
      <c r="X876" s="4"/>
      <c r="Y876" s="4"/>
      <c r="Z876" s="4"/>
    </row>
    <row r="877">
      <c r="A877" s="28"/>
      <c r="B877" s="2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7"/>
      <c r="V877" s="7"/>
      <c r="W877" s="4"/>
      <c r="X877" s="4"/>
      <c r="Y877" s="4"/>
      <c r="Z877" s="4"/>
    </row>
    <row r="878">
      <c r="A878" s="28"/>
      <c r="B878" s="2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7"/>
      <c r="V878" s="7"/>
      <c r="W878" s="4"/>
      <c r="X878" s="4"/>
      <c r="Y878" s="4"/>
      <c r="Z878" s="4"/>
    </row>
    <row r="879">
      <c r="A879" s="28"/>
      <c r="B879" s="2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7"/>
      <c r="V879" s="7"/>
      <c r="W879" s="4"/>
      <c r="X879" s="4"/>
      <c r="Y879" s="4"/>
      <c r="Z879" s="4"/>
    </row>
    <row r="880">
      <c r="A880" s="28"/>
      <c r="B880" s="2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7"/>
      <c r="V880" s="7"/>
      <c r="W880" s="4"/>
      <c r="X880" s="4"/>
      <c r="Y880" s="4"/>
      <c r="Z880" s="4"/>
    </row>
    <row r="881">
      <c r="A881" s="28"/>
      <c r="B881" s="2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7"/>
      <c r="V881" s="7"/>
      <c r="W881" s="4"/>
      <c r="X881" s="4"/>
      <c r="Y881" s="4"/>
      <c r="Z881" s="4"/>
    </row>
    <row r="882">
      <c r="A882" s="28"/>
      <c r="B882" s="2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7"/>
      <c r="V882" s="7"/>
      <c r="W882" s="4"/>
      <c r="X882" s="4"/>
      <c r="Y882" s="4"/>
      <c r="Z882" s="4"/>
    </row>
    <row r="883">
      <c r="A883" s="28"/>
      <c r="B883" s="2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7"/>
      <c r="V883" s="7"/>
      <c r="W883" s="4"/>
      <c r="X883" s="4"/>
      <c r="Y883" s="4"/>
      <c r="Z883" s="4"/>
    </row>
    <row r="884">
      <c r="A884" s="28"/>
      <c r="B884" s="2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7"/>
      <c r="V884" s="7"/>
      <c r="W884" s="4"/>
      <c r="X884" s="4"/>
      <c r="Y884" s="4"/>
      <c r="Z884" s="4"/>
    </row>
    <row r="885">
      <c r="A885" s="28"/>
      <c r="B885" s="2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7"/>
      <c r="V885" s="7"/>
      <c r="W885" s="4"/>
      <c r="X885" s="4"/>
      <c r="Y885" s="4"/>
      <c r="Z885" s="4"/>
    </row>
    <row r="886">
      <c r="A886" s="28"/>
      <c r="B886" s="2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7"/>
      <c r="V886" s="7"/>
      <c r="W886" s="4"/>
      <c r="X886" s="4"/>
      <c r="Y886" s="4"/>
      <c r="Z886" s="4"/>
    </row>
    <row r="887">
      <c r="A887" s="28"/>
      <c r="B887" s="2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7"/>
      <c r="V887" s="7"/>
      <c r="W887" s="4"/>
      <c r="X887" s="4"/>
      <c r="Y887" s="4"/>
      <c r="Z887" s="4"/>
    </row>
    <row r="888">
      <c r="A888" s="28"/>
      <c r="B888" s="2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7"/>
      <c r="V888" s="7"/>
      <c r="W888" s="4"/>
      <c r="X888" s="4"/>
      <c r="Y888" s="4"/>
      <c r="Z888" s="4"/>
    </row>
    <row r="889">
      <c r="A889" s="28"/>
      <c r="B889" s="2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7"/>
      <c r="V889" s="7"/>
      <c r="W889" s="4"/>
      <c r="X889" s="4"/>
      <c r="Y889" s="4"/>
      <c r="Z889" s="4"/>
    </row>
    <row r="890">
      <c r="A890" s="28"/>
      <c r="B890" s="2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7"/>
      <c r="V890" s="7"/>
      <c r="W890" s="4"/>
      <c r="X890" s="4"/>
      <c r="Y890" s="4"/>
      <c r="Z890" s="4"/>
    </row>
    <row r="891">
      <c r="A891" s="28"/>
      <c r="B891" s="2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7"/>
      <c r="V891" s="7"/>
      <c r="W891" s="4"/>
      <c r="X891" s="4"/>
      <c r="Y891" s="4"/>
      <c r="Z891" s="4"/>
    </row>
    <row r="892">
      <c r="A892" s="28"/>
      <c r="B892" s="2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7"/>
      <c r="V892" s="7"/>
      <c r="W892" s="4"/>
      <c r="X892" s="4"/>
      <c r="Y892" s="4"/>
      <c r="Z892" s="4"/>
    </row>
    <row r="893">
      <c r="A893" s="28"/>
      <c r="B893" s="2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7"/>
      <c r="V893" s="7"/>
      <c r="W893" s="4"/>
      <c r="X893" s="4"/>
      <c r="Y893" s="4"/>
      <c r="Z893" s="4"/>
    </row>
    <row r="894">
      <c r="A894" s="28"/>
      <c r="B894" s="2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7"/>
      <c r="V894" s="7"/>
      <c r="W894" s="4"/>
      <c r="X894" s="4"/>
      <c r="Y894" s="4"/>
      <c r="Z894" s="4"/>
    </row>
    <row r="895">
      <c r="A895" s="28"/>
      <c r="B895" s="2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7"/>
      <c r="V895" s="7"/>
      <c r="W895" s="4"/>
      <c r="X895" s="4"/>
      <c r="Y895" s="4"/>
      <c r="Z895" s="4"/>
    </row>
    <row r="896">
      <c r="A896" s="28"/>
      <c r="B896" s="2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7"/>
      <c r="V896" s="7"/>
      <c r="W896" s="4"/>
      <c r="X896" s="4"/>
      <c r="Y896" s="4"/>
      <c r="Z896" s="4"/>
    </row>
    <row r="897">
      <c r="A897" s="28"/>
      <c r="B897" s="2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7"/>
      <c r="V897" s="7"/>
      <c r="W897" s="4"/>
      <c r="X897" s="4"/>
      <c r="Y897" s="4"/>
      <c r="Z897" s="4"/>
    </row>
    <row r="898">
      <c r="A898" s="28"/>
      <c r="B898" s="2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7"/>
      <c r="V898" s="7"/>
      <c r="W898" s="4"/>
      <c r="X898" s="4"/>
      <c r="Y898" s="4"/>
      <c r="Z898" s="4"/>
    </row>
    <row r="899">
      <c r="A899" s="28"/>
      <c r="B899" s="2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7"/>
      <c r="V899" s="7"/>
      <c r="W899" s="4"/>
      <c r="X899" s="4"/>
      <c r="Y899" s="4"/>
      <c r="Z899" s="4"/>
    </row>
    <row r="900">
      <c r="A900" s="28"/>
      <c r="B900" s="2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7"/>
      <c r="V900" s="7"/>
      <c r="W900" s="4"/>
      <c r="X900" s="4"/>
      <c r="Y900" s="4"/>
      <c r="Z900" s="4"/>
    </row>
    <row r="901">
      <c r="A901" s="28"/>
      <c r="B901" s="2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7"/>
      <c r="V901" s="7"/>
      <c r="W901" s="4"/>
      <c r="X901" s="4"/>
      <c r="Y901" s="4"/>
      <c r="Z901" s="4"/>
    </row>
    <row r="902">
      <c r="A902" s="28"/>
      <c r="B902" s="2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7"/>
      <c r="V902" s="7"/>
      <c r="W902" s="4"/>
      <c r="X902" s="4"/>
      <c r="Y902" s="4"/>
      <c r="Z902" s="4"/>
    </row>
    <row r="903">
      <c r="A903" s="28"/>
      <c r="B903" s="2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7"/>
      <c r="V903" s="7"/>
      <c r="W903" s="4"/>
      <c r="X903" s="4"/>
      <c r="Y903" s="4"/>
      <c r="Z903" s="4"/>
    </row>
    <row r="904">
      <c r="A904" s="28"/>
      <c r="B904" s="2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7"/>
      <c r="V904" s="7"/>
      <c r="W904" s="4"/>
      <c r="X904" s="4"/>
      <c r="Y904" s="4"/>
      <c r="Z904" s="4"/>
    </row>
    <row r="905">
      <c r="A905" s="28"/>
      <c r="B905" s="2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7"/>
      <c r="V905" s="7"/>
      <c r="W905" s="4"/>
      <c r="X905" s="4"/>
      <c r="Y905" s="4"/>
      <c r="Z905" s="4"/>
    </row>
    <row r="906">
      <c r="A906" s="28"/>
      <c r="B906" s="2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7"/>
      <c r="V906" s="7"/>
      <c r="W906" s="4"/>
      <c r="X906" s="4"/>
      <c r="Y906" s="4"/>
      <c r="Z906" s="4"/>
    </row>
    <row r="907">
      <c r="A907" s="28"/>
      <c r="B907" s="2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7"/>
      <c r="V907" s="7"/>
      <c r="W907" s="4"/>
      <c r="X907" s="4"/>
      <c r="Y907" s="4"/>
      <c r="Z907" s="4"/>
    </row>
    <row r="908">
      <c r="A908" s="28"/>
      <c r="B908" s="2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7"/>
      <c r="V908" s="7"/>
      <c r="W908" s="4"/>
      <c r="X908" s="4"/>
      <c r="Y908" s="4"/>
      <c r="Z908" s="4"/>
    </row>
    <row r="909">
      <c r="A909" s="28"/>
      <c r="B909" s="2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7"/>
      <c r="V909" s="7"/>
      <c r="W909" s="4"/>
      <c r="X909" s="4"/>
      <c r="Y909" s="4"/>
      <c r="Z909" s="4"/>
    </row>
    <row r="910">
      <c r="A910" s="28"/>
      <c r="B910" s="2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7"/>
      <c r="V910" s="7"/>
      <c r="W910" s="4"/>
      <c r="X910" s="4"/>
      <c r="Y910" s="4"/>
      <c r="Z910" s="4"/>
    </row>
    <row r="911">
      <c r="A911" s="28"/>
      <c r="B911" s="2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7"/>
      <c r="V911" s="7"/>
      <c r="W911" s="4"/>
      <c r="X911" s="4"/>
      <c r="Y911" s="4"/>
      <c r="Z911" s="4"/>
    </row>
    <row r="912">
      <c r="A912" s="28"/>
      <c r="B912" s="2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7"/>
      <c r="V912" s="7"/>
      <c r="W912" s="4"/>
      <c r="X912" s="4"/>
      <c r="Y912" s="4"/>
      <c r="Z912" s="4"/>
    </row>
    <row r="913">
      <c r="A913" s="28"/>
      <c r="B913" s="2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7"/>
      <c r="V913" s="7"/>
      <c r="W913" s="4"/>
      <c r="X913" s="4"/>
      <c r="Y913" s="4"/>
      <c r="Z913" s="4"/>
    </row>
    <row r="914">
      <c r="A914" s="28"/>
      <c r="B914" s="2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7"/>
      <c r="V914" s="7"/>
      <c r="W914" s="4"/>
      <c r="X914" s="4"/>
      <c r="Y914" s="4"/>
      <c r="Z914" s="4"/>
    </row>
    <row r="915">
      <c r="A915" s="28"/>
      <c r="B915" s="2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7"/>
      <c r="V915" s="7"/>
      <c r="W915" s="4"/>
      <c r="X915" s="4"/>
      <c r="Y915" s="4"/>
      <c r="Z915" s="4"/>
    </row>
    <row r="916">
      <c r="A916" s="28"/>
      <c r="B916" s="2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7"/>
      <c r="V916" s="7"/>
      <c r="W916" s="4"/>
      <c r="X916" s="4"/>
      <c r="Y916" s="4"/>
      <c r="Z916" s="4"/>
    </row>
    <row r="917">
      <c r="A917" s="28"/>
      <c r="B917" s="2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7"/>
      <c r="V917" s="7"/>
      <c r="W917" s="4"/>
      <c r="X917" s="4"/>
      <c r="Y917" s="4"/>
      <c r="Z917" s="4"/>
    </row>
    <row r="918">
      <c r="A918" s="28"/>
      <c r="B918" s="2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7"/>
      <c r="V918" s="7"/>
      <c r="W918" s="4"/>
      <c r="X918" s="4"/>
      <c r="Y918" s="4"/>
      <c r="Z918" s="4"/>
    </row>
    <row r="919">
      <c r="A919" s="28"/>
      <c r="B919" s="2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7"/>
      <c r="V919" s="7"/>
      <c r="W919" s="4"/>
      <c r="X919" s="4"/>
      <c r="Y919" s="4"/>
      <c r="Z919" s="4"/>
    </row>
    <row r="920">
      <c r="A920" s="28"/>
      <c r="B920" s="2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7"/>
      <c r="V920" s="7"/>
      <c r="W920" s="4"/>
      <c r="X920" s="4"/>
      <c r="Y920" s="4"/>
      <c r="Z920" s="4"/>
    </row>
    <row r="921">
      <c r="A921" s="28"/>
      <c r="B921" s="2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7"/>
      <c r="V921" s="7"/>
      <c r="W921" s="4"/>
      <c r="X921" s="4"/>
      <c r="Y921" s="4"/>
      <c r="Z921" s="4"/>
    </row>
    <row r="922">
      <c r="A922" s="28"/>
      <c r="B922" s="2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7"/>
      <c r="V922" s="7"/>
      <c r="W922" s="4"/>
      <c r="X922" s="4"/>
      <c r="Y922" s="4"/>
      <c r="Z922" s="4"/>
    </row>
    <row r="923">
      <c r="A923" s="28"/>
      <c r="B923" s="2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7"/>
      <c r="V923" s="7"/>
      <c r="W923" s="4"/>
      <c r="X923" s="4"/>
      <c r="Y923" s="4"/>
      <c r="Z923" s="4"/>
    </row>
    <row r="924">
      <c r="A924" s="28"/>
      <c r="B924" s="2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7"/>
      <c r="V924" s="7"/>
      <c r="W924" s="4"/>
      <c r="X924" s="4"/>
      <c r="Y924" s="4"/>
      <c r="Z924" s="4"/>
    </row>
    <row r="925">
      <c r="A925" s="28"/>
      <c r="B925" s="2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7"/>
      <c r="V925" s="7"/>
      <c r="W925" s="4"/>
      <c r="X925" s="4"/>
      <c r="Y925" s="4"/>
      <c r="Z925" s="4"/>
    </row>
    <row r="926">
      <c r="A926" s="28"/>
      <c r="B926" s="2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7"/>
      <c r="V926" s="7"/>
      <c r="W926" s="4"/>
      <c r="X926" s="4"/>
      <c r="Y926" s="4"/>
      <c r="Z926" s="4"/>
    </row>
    <row r="927">
      <c r="A927" s="28"/>
      <c r="B927" s="2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7"/>
      <c r="V927" s="7"/>
      <c r="W927" s="4"/>
      <c r="X927" s="4"/>
      <c r="Y927" s="4"/>
      <c r="Z927" s="4"/>
    </row>
    <row r="928">
      <c r="A928" s="28"/>
      <c r="B928" s="2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7"/>
      <c r="V928" s="7"/>
      <c r="W928" s="4"/>
      <c r="X928" s="4"/>
      <c r="Y928" s="4"/>
      <c r="Z928" s="4"/>
    </row>
    <row r="929">
      <c r="A929" s="28"/>
      <c r="B929" s="2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7"/>
      <c r="V929" s="7"/>
      <c r="W929" s="4"/>
      <c r="X929" s="4"/>
      <c r="Y929" s="4"/>
      <c r="Z929" s="4"/>
    </row>
    <row r="930">
      <c r="A930" s="28"/>
      <c r="B930" s="2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7"/>
      <c r="V930" s="7"/>
      <c r="W930" s="4"/>
      <c r="X930" s="4"/>
      <c r="Y930" s="4"/>
      <c r="Z930" s="4"/>
    </row>
    <row r="931">
      <c r="A931" s="28"/>
      <c r="B931" s="2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7"/>
      <c r="V931" s="7"/>
      <c r="W931" s="4"/>
      <c r="X931" s="4"/>
      <c r="Y931" s="4"/>
      <c r="Z931" s="4"/>
    </row>
    <row r="932">
      <c r="A932" s="28"/>
      <c r="B932" s="2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7"/>
      <c r="V932" s="7"/>
      <c r="W932" s="4"/>
      <c r="X932" s="4"/>
      <c r="Y932" s="4"/>
      <c r="Z932" s="4"/>
    </row>
    <row r="933">
      <c r="A933" s="28"/>
      <c r="B933" s="2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7"/>
      <c r="V933" s="7"/>
      <c r="W933" s="4"/>
      <c r="X933" s="4"/>
      <c r="Y933" s="4"/>
      <c r="Z933" s="4"/>
    </row>
    <row r="934">
      <c r="A934" s="28"/>
      <c r="B934" s="2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7"/>
      <c r="V934" s="7"/>
      <c r="W934" s="4"/>
      <c r="X934" s="4"/>
      <c r="Y934" s="4"/>
      <c r="Z934" s="4"/>
    </row>
    <row r="935">
      <c r="A935" s="28"/>
      <c r="B935" s="2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7"/>
      <c r="V935" s="7"/>
      <c r="W935" s="4"/>
      <c r="X935" s="4"/>
      <c r="Y935" s="4"/>
      <c r="Z935" s="4"/>
    </row>
    <row r="936">
      <c r="A936" s="28"/>
      <c r="B936" s="2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7"/>
      <c r="V936" s="7"/>
      <c r="W936" s="4"/>
      <c r="X936" s="4"/>
      <c r="Y936" s="4"/>
      <c r="Z936" s="4"/>
    </row>
    <row r="937">
      <c r="A937" s="28"/>
      <c r="B937" s="2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7"/>
      <c r="V937" s="7"/>
      <c r="W937" s="4"/>
      <c r="X937" s="4"/>
      <c r="Y937" s="4"/>
      <c r="Z937" s="4"/>
    </row>
    <row r="938">
      <c r="A938" s="28"/>
      <c r="B938" s="2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7"/>
      <c r="V938" s="7"/>
      <c r="W938" s="4"/>
      <c r="X938" s="4"/>
      <c r="Y938" s="4"/>
      <c r="Z938" s="4"/>
    </row>
    <row r="939">
      <c r="A939" s="28"/>
      <c r="B939" s="2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7"/>
      <c r="V939" s="7"/>
      <c r="W939" s="4"/>
      <c r="X939" s="4"/>
      <c r="Y939" s="4"/>
      <c r="Z939" s="4"/>
    </row>
    <row r="940">
      <c r="A940" s="28"/>
      <c r="B940" s="2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7"/>
      <c r="V940" s="7"/>
      <c r="W940" s="4"/>
      <c r="X940" s="4"/>
      <c r="Y940" s="4"/>
      <c r="Z940" s="4"/>
    </row>
    <row r="941">
      <c r="A941" s="28"/>
      <c r="B941" s="2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7"/>
      <c r="V941" s="7"/>
      <c r="W941" s="4"/>
      <c r="X941" s="4"/>
      <c r="Y941" s="4"/>
      <c r="Z941" s="4"/>
    </row>
    <row r="942">
      <c r="A942" s="28"/>
      <c r="B942" s="2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7"/>
      <c r="V942" s="7"/>
      <c r="W942" s="4"/>
      <c r="X942" s="4"/>
      <c r="Y942" s="4"/>
      <c r="Z942" s="4"/>
    </row>
    <row r="943">
      <c r="A943" s="28"/>
      <c r="B943" s="2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7"/>
      <c r="V943" s="7"/>
      <c r="W943" s="4"/>
      <c r="X943" s="4"/>
      <c r="Y943" s="4"/>
      <c r="Z943" s="4"/>
    </row>
    <row r="944">
      <c r="A944" s="28"/>
      <c r="B944" s="2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7"/>
      <c r="V944" s="7"/>
      <c r="W944" s="4"/>
      <c r="X944" s="4"/>
      <c r="Y944" s="4"/>
      <c r="Z944" s="4"/>
    </row>
    <row r="945">
      <c r="A945" s="28"/>
      <c r="B945" s="2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7"/>
      <c r="V945" s="7"/>
      <c r="W945" s="4"/>
      <c r="X945" s="4"/>
      <c r="Y945" s="4"/>
      <c r="Z945" s="4"/>
    </row>
    <row r="946">
      <c r="A946" s="28"/>
      <c r="B946" s="2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7"/>
      <c r="V946" s="7"/>
      <c r="W946" s="4"/>
      <c r="X946" s="4"/>
      <c r="Y946" s="4"/>
      <c r="Z946" s="4"/>
    </row>
    <row r="947">
      <c r="A947" s="28"/>
      <c r="B947" s="2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7"/>
      <c r="V947" s="7"/>
      <c r="W947" s="4"/>
      <c r="X947" s="4"/>
      <c r="Y947" s="4"/>
      <c r="Z947" s="4"/>
    </row>
    <row r="948">
      <c r="A948" s="28"/>
      <c r="B948" s="2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7"/>
      <c r="V948" s="7"/>
      <c r="W948" s="4"/>
      <c r="X948" s="4"/>
      <c r="Y948" s="4"/>
      <c r="Z948" s="4"/>
    </row>
    <row r="949">
      <c r="A949" s="28"/>
      <c r="B949" s="2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7"/>
      <c r="V949" s="7"/>
      <c r="W949" s="4"/>
      <c r="X949" s="4"/>
      <c r="Y949" s="4"/>
      <c r="Z949" s="4"/>
    </row>
    <row r="950">
      <c r="A950" s="28"/>
      <c r="B950" s="2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7"/>
      <c r="V950" s="7"/>
      <c r="W950" s="4"/>
      <c r="X950" s="4"/>
      <c r="Y950" s="4"/>
      <c r="Z950" s="4"/>
    </row>
    <row r="951">
      <c r="A951" s="28"/>
      <c r="B951" s="2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7"/>
      <c r="V951" s="7"/>
      <c r="W951" s="4"/>
      <c r="X951" s="4"/>
      <c r="Y951" s="4"/>
      <c r="Z951" s="4"/>
    </row>
    <row r="952">
      <c r="A952" s="28"/>
      <c r="B952" s="2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7"/>
      <c r="V952" s="7"/>
      <c r="W952" s="4"/>
      <c r="X952" s="4"/>
      <c r="Y952" s="4"/>
      <c r="Z952" s="4"/>
    </row>
    <row r="953">
      <c r="A953" s="28"/>
      <c r="B953" s="2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7"/>
      <c r="V953" s="7"/>
      <c r="W953" s="4"/>
      <c r="X953" s="4"/>
      <c r="Y953" s="4"/>
      <c r="Z953" s="4"/>
    </row>
    <row r="954">
      <c r="A954" s="28"/>
      <c r="B954" s="2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7"/>
      <c r="V954" s="7"/>
      <c r="W954" s="4"/>
      <c r="X954" s="4"/>
      <c r="Y954" s="4"/>
      <c r="Z954" s="4"/>
    </row>
    <row r="955">
      <c r="A955" s="28"/>
      <c r="B955" s="2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7"/>
      <c r="V955" s="7"/>
      <c r="W955" s="4"/>
      <c r="X955" s="4"/>
      <c r="Y955" s="4"/>
      <c r="Z955" s="4"/>
    </row>
    <row r="956">
      <c r="A956" s="28"/>
      <c r="B956" s="2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7"/>
      <c r="V956" s="7"/>
      <c r="W956" s="4"/>
      <c r="X956" s="4"/>
      <c r="Y956" s="4"/>
      <c r="Z956" s="4"/>
    </row>
    <row r="957">
      <c r="A957" s="28"/>
      <c r="B957" s="2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7"/>
      <c r="V957" s="7"/>
      <c r="W957" s="4"/>
      <c r="X957" s="4"/>
      <c r="Y957" s="4"/>
      <c r="Z957" s="4"/>
    </row>
    <row r="958">
      <c r="A958" s="28"/>
      <c r="B958" s="2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7"/>
      <c r="V958" s="7"/>
      <c r="W958" s="4"/>
      <c r="X958" s="4"/>
      <c r="Y958" s="4"/>
      <c r="Z958" s="4"/>
    </row>
    <row r="959">
      <c r="A959" s="28"/>
      <c r="B959" s="2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7"/>
      <c r="V959" s="7"/>
      <c r="W959" s="4"/>
      <c r="X959" s="4"/>
      <c r="Y959" s="4"/>
      <c r="Z959" s="4"/>
    </row>
    <row r="960">
      <c r="A960" s="28"/>
      <c r="B960" s="2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7"/>
      <c r="V960" s="7"/>
      <c r="W960" s="4"/>
      <c r="X960" s="4"/>
      <c r="Y960" s="4"/>
      <c r="Z960" s="4"/>
    </row>
    <row r="961">
      <c r="A961" s="28"/>
      <c r="B961" s="2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7"/>
      <c r="V961" s="7"/>
      <c r="W961" s="4"/>
      <c r="X961" s="4"/>
      <c r="Y961" s="4"/>
      <c r="Z961" s="4"/>
    </row>
    <row r="962">
      <c r="A962" s="28"/>
      <c r="B962" s="2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7"/>
      <c r="V962" s="7"/>
      <c r="W962" s="4"/>
      <c r="X962" s="4"/>
      <c r="Y962" s="4"/>
      <c r="Z962" s="4"/>
    </row>
    <row r="963">
      <c r="A963" s="28"/>
      <c r="B963" s="2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7"/>
      <c r="V963" s="7"/>
      <c r="W963" s="4"/>
      <c r="X963" s="4"/>
      <c r="Y963" s="4"/>
      <c r="Z963" s="4"/>
    </row>
    <row r="964">
      <c r="A964" s="28"/>
      <c r="B964" s="2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7"/>
      <c r="V964" s="7"/>
      <c r="W964" s="4"/>
      <c r="X964" s="4"/>
      <c r="Y964" s="4"/>
      <c r="Z964" s="4"/>
    </row>
    <row r="965">
      <c r="A965" s="28"/>
      <c r="B965" s="2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7"/>
      <c r="V965" s="7"/>
      <c r="W965" s="4"/>
      <c r="X965" s="4"/>
      <c r="Y965" s="4"/>
      <c r="Z965" s="4"/>
    </row>
    <row r="966">
      <c r="A966" s="28"/>
      <c r="B966" s="2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7"/>
      <c r="V966" s="7"/>
      <c r="W966" s="4"/>
      <c r="X966" s="4"/>
      <c r="Y966" s="4"/>
      <c r="Z966" s="4"/>
    </row>
    <row r="967">
      <c r="A967" s="28"/>
      <c r="B967" s="2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7"/>
      <c r="V967" s="7"/>
      <c r="W967" s="4"/>
      <c r="X967" s="4"/>
      <c r="Y967" s="4"/>
      <c r="Z967" s="4"/>
    </row>
    <row r="968">
      <c r="A968" s="28"/>
      <c r="B968" s="2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7"/>
      <c r="V968" s="7"/>
      <c r="W968" s="4"/>
      <c r="X968" s="4"/>
      <c r="Y968" s="4"/>
      <c r="Z968" s="4"/>
    </row>
    <row r="969">
      <c r="A969" s="28"/>
      <c r="B969" s="2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7"/>
      <c r="V969" s="7"/>
      <c r="W969" s="4"/>
      <c r="X969" s="4"/>
      <c r="Y969" s="4"/>
      <c r="Z969" s="4"/>
    </row>
    <row r="970">
      <c r="A970" s="28"/>
      <c r="B970" s="2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7"/>
      <c r="V970" s="7"/>
      <c r="W970" s="4"/>
      <c r="X970" s="4"/>
      <c r="Y970" s="4"/>
      <c r="Z970" s="4"/>
    </row>
    <row r="971">
      <c r="A971" s="28"/>
      <c r="B971" s="2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7"/>
      <c r="V971" s="7"/>
      <c r="W971" s="4"/>
      <c r="X971" s="4"/>
      <c r="Y971" s="4"/>
      <c r="Z971" s="4"/>
    </row>
    <row r="972">
      <c r="A972" s="28"/>
      <c r="B972" s="2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7"/>
      <c r="V972" s="7"/>
      <c r="W972" s="4"/>
      <c r="X972" s="4"/>
      <c r="Y972" s="4"/>
      <c r="Z972" s="4"/>
    </row>
    <row r="973">
      <c r="A973" s="28"/>
      <c r="B973" s="2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7"/>
      <c r="V973" s="7"/>
      <c r="W973" s="4"/>
      <c r="X973" s="4"/>
      <c r="Y973" s="4"/>
      <c r="Z973" s="4"/>
    </row>
    <row r="974">
      <c r="A974" s="28"/>
      <c r="B974" s="2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7"/>
      <c r="V974" s="7"/>
      <c r="W974" s="4"/>
      <c r="X974" s="4"/>
      <c r="Y974" s="4"/>
      <c r="Z974" s="4"/>
    </row>
    <row r="975">
      <c r="A975" s="28"/>
      <c r="B975" s="2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7"/>
      <c r="V975" s="7"/>
      <c r="W975" s="4"/>
      <c r="X975" s="4"/>
      <c r="Y975" s="4"/>
      <c r="Z975" s="4"/>
    </row>
    <row r="976">
      <c r="A976" s="28"/>
      <c r="B976" s="2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7"/>
      <c r="V976" s="7"/>
      <c r="W976" s="4"/>
      <c r="X976" s="4"/>
      <c r="Y976" s="4"/>
      <c r="Z976" s="4"/>
    </row>
    <row r="977">
      <c r="A977" s="28"/>
      <c r="B977" s="2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7"/>
      <c r="V977" s="7"/>
      <c r="W977" s="4"/>
      <c r="X977" s="4"/>
      <c r="Y977" s="4"/>
      <c r="Z977" s="4"/>
    </row>
    <row r="978">
      <c r="A978" s="28"/>
      <c r="B978" s="2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7"/>
      <c r="V978" s="7"/>
      <c r="W978" s="4"/>
      <c r="X978" s="4"/>
      <c r="Y978" s="4"/>
      <c r="Z978" s="4"/>
    </row>
    <row r="979">
      <c r="A979" s="28"/>
      <c r="B979" s="2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7"/>
      <c r="V979" s="7"/>
      <c r="W979" s="4"/>
      <c r="X979" s="4"/>
      <c r="Y979" s="4"/>
      <c r="Z979" s="4"/>
    </row>
    <row r="980">
      <c r="A980" s="28"/>
      <c r="B980" s="2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7"/>
      <c r="V980" s="7"/>
      <c r="W980" s="4"/>
      <c r="X980" s="4"/>
      <c r="Y980" s="4"/>
      <c r="Z980" s="4"/>
    </row>
    <row r="981">
      <c r="A981" s="28"/>
      <c r="B981" s="2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7"/>
      <c r="V981" s="7"/>
      <c r="W981" s="4"/>
      <c r="X981" s="4"/>
      <c r="Y981" s="4"/>
      <c r="Z981" s="4"/>
    </row>
    <row r="982">
      <c r="A982" s="28"/>
      <c r="B982" s="2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7"/>
      <c r="V982" s="7"/>
      <c r="W982" s="4"/>
      <c r="X982" s="4"/>
      <c r="Y982" s="4"/>
      <c r="Z982" s="4"/>
    </row>
    <row r="983">
      <c r="A983" s="28"/>
      <c r="B983" s="2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7"/>
      <c r="V983" s="7"/>
      <c r="W983" s="4"/>
      <c r="X983" s="4"/>
      <c r="Y983" s="4"/>
      <c r="Z983" s="4"/>
    </row>
    <row r="984">
      <c r="A984" s="28"/>
      <c r="B984" s="2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7"/>
      <c r="V984" s="7"/>
      <c r="W984" s="4"/>
      <c r="X984" s="4"/>
      <c r="Y984" s="4"/>
      <c r="Z984" s="4"/>
    </row>
    <row r="985">
      <c r="A985" s="28"/>
      <c r="B985" s="2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7"/>
      <c r="V985" s="7"/>
      <c r="W985" s="4"/>
      <c r="X985" s="4"/>
      <c r="Y985" s="4"/>
      <c r="Z985" s="4"/>
    </row>
    <row r="986">
      <c r="A986" s="28"/>
      <c r="B986" s="2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7"/>
      <c r="V986" s="7"/>
      <c r="W986" s="4"/>
      <c r="X986" s="4"/>
      <c r="Y986" s="4"/>
      <c r="Z986" s="4"/>
    </row>
    <row r="987">
      <c r="A987" s="28"/>
      <c r="B987" s="2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7"/>
      <c r="V987" s="7"/>
      <c r="W987" s="4"/>
      <c r="X987" s="4"/>
      <c r="Y987" s="4"/>
      <c r="Z987" s="4"/>
    </row>
    <row r="988">
      <c r="A988" s="28"/>
      <c r="B988" s="2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7"/>
      <c r="V988" s="7"/>
      <c r="W988" s="4"/>
      <c r="X988" s="4"/>
      <c r="Y988" s="4"/>
      <c r="Z988" s="4"/>
    </row>
    <row r="989">
      <c r="A989" s="28"/>
      <c r="B989" s="2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7"/>
      <c r="V989" s="7"/>
      <c r="W989" s="4"/>
      <c r="X989" s="4"/>
      <c r="Y989" s="4"/>
      <c r="Z989" s="4"/>
    </row>
    <row r="990">
      <c r="A990" s="28"/>
      <c r="B990" s="2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7"/>
      <c r="V990" s="7"/>
      <c r="W990" s="4"/>
      <c r="X990" s="4"/>
      <c r="Y990" s="4"/>
      <c r="Z990" s="4"/>
    </row>
    <row r="991">
      <c r="A991" s="28"/>
      <c r="B991" s="2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7"/>
      <c r="V991" s="7"/>
      <c r="W991" s="4"/>
      <c r="X991" s="4"/>
      <c r="Y991" s="4"/>
      <c r="Z991" s="4"/>
    </row>
    <row r="992">
      <c r="A992" s="28"/>
      <c r="B992" s="2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7"/>
      <c r="V992" s="7"/>
      <c r="W992" s="4"/>
      <c r="X992" s="4"/>
      <c r="Y992" s="4"/>
      <c r="Z992" s="4"/>
    </row>
    <row r="993">
      <c r="A993" s="28"/>
      <c r="B993" s="2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7"/>
      <c r="V993" s="7"/>
      <c r="W993" s="4"/>
      <c r="X993" s="4"/>
      <c r="Y993" s="4"/>
      <c r="Z993" s="4"/>
    </row>
    <row r="994">
      <c r="A994" s="28"/>
      <c r="B994" s="2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7"/>
      <c r="V994" s="7"/>
      <c r="W994" s="4"/>
      <c r="X994" s="4"/>
      <c r="Y994" s="4"/>
      <c r="Z994" s="4"/>
    </row>
    <row r="995">
      <c r="A995" s="28"/>
      <c r="B995" s="2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7"/>
      <c r="V995" s="7"/>
      <c r="W995" s="4"/>
      <c r="X995" s="4"/>
      <c r="Y995" s="4"/>
      <c r="Z995" s="4"/>
    </row>
    <row r="996">
      <c r="A996" s="28"/>
      <c r="B996" s="2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7"/>
      <c r="V996" s="7"/>
      <c r="W996" s="4"/>
      <c r="X996" s="4"/>
      <c r="Y996" s="4"/>
      <c r="Z996" s="4"/>
    </row>
    <row r="997">
      <c r="A997" s="28"/>
      <c r="B997" s="2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7"/>
      <c r="V997" s="7"/>
      <c r="W997" s="4"/>
      <c r="X997" s="4"/>
      <c r="Y997" s="4"/>
      <c r="Z997" s="4"/>
    </row>
    <row r="998">
      <c r="A998" s="28"/>
      <c r="B998" s="2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7"/>
      <c r="V998" s="7"/>
      <c r="W998" s="4"/>
      <c r="X998" s="4"/>
      <c r="Y998" s="4"/>
      <c r="Z998" s="4"/>
    </row>
    <row r="999">
      <c r="A999" s="28"/>
      <c r="B999" s="2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7"/>
      <c r="V999" s="7"/>
      <c r="W999" s="4"/>
      <c r="X999" s="4"/>
      <c r="Y999" s="4"/>
      <c r="Z999" s="4"/>
    </row>
    <row r="1000">
      <c r="A1000" s="28"/>
      <c r="B1000" s="2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7"/>
      <c r="V1000" s="7"/>
      <c r="W1000" s="4"/>
      <c r="X1000" s="4"/>
      <c r="Y1000" s="4"/>
      <c r="Z1000" s="4"/>
    </row>
  </sheetData>
  <mergeCells count="2">
    <mergeCell ref="E167:K168"/>
    <mergeCell ref="E169:K170"/>
  </mergeCells>
  <dataValidations>
    <dataValidation type="list" allowBlank="1" showErrorMessage="1" sqref="F4">
      <formula1>"0,8,0,9,1,1,1,1,2,1,3,1,4"</formula1>
    </dataValidation>
    <dataValidation type="list" allowBlank="1" showErrorMessage="1" sqref="F184">
      <formula1>"10,15"</formula1>
    </dataValidation>
    <dataValidation type="list" allowBlank="1" showErrorMessage="1" sqref="F6">
      <formula1>"30,31,32,33,34,35"</formula1>
    </dataValidation>
    <dataValidation type="list" allowBlank="1" showErrorMessage="1" sqref="G112 G137 E152">
      <formula1>"6,8,10"</formula1>
    </dataValidation>
    <dataValidation type="list" allowBlank="1" showErrorMessage="1" sqref="Q16">
      <formula1>"250,280,300"</formula1>
    </dataValidation>
    <dataValidation type="list" allowBlank="1" showErrorMessage="1" sqref="E94">
      <formula1>"10,15,20"</formula1>
    </dataValidation>
    <dataValidation type="list" allowBlank="1" showErrorMessage="1" sqref="F17">
      <formula1>"10,11,12"</formula1>
    </dataValidation>
    <dataValidation type="list" allowBlank="1" showErrorMessage="1" sqref="Q11">
      <formula1>"180,200,220"</formula1>
    </dataValidation>
    <dataValidation type="list" allowBlank="1" showErrorMessage="1" sqref="F12">
      <formula1>"12,13,14,15,16"</formula1>
    </dataValidation>
    <dataValidation type="list" allowBlank="1" showErrorMessage="1" sqref="F276:F295">
      <formula1>"6,8,10,12,14,16,18,20,22,25,28,30,32,36,40"</formula1>
    </dataValidation>
  </dataValidations>
  <printOptions/>
  <pageMargins bottom="0.75" footer="0.0" header="0.0" left="0.7" right="0.7" top="0.75"/>
  <pageSetup orientation="portrait"/>
  <drawing r:id="rId1"/>
  <legacyDrawing r:id="rId2"/>
  <oleObjects>
    <oleObject progId="Equation.3" shapeId="2053" r:id="rId3"/>
    <oleObject progId="Equation.3" shapeId="2054" r:id="rId4"/>
    <oleObject progId="Equation.3" shapeId="2055" r:id="rId5"/>
    <oleObject progId="Equation.3" shapeId="2056" r:id="rId6"/>
    <oleObject progId="Equation.3" shapeId="2049" r:id="rId7"/>
    <oleObject progId="Equation.3" shapeId="2050" r:id="rId8"/>
    <oleObject progId="Equation.3" shapeId="2051" r:id="rId9"/>
    <oleObject progId="Equation.3" shapeId="2052" r:id="rId10"/>
    <oleObject progId="Equation.3" shapeId="2057" r:id="rId11"/>
    <oleObject progId="Equation.3" shapeId="2058" r:id="rId12"/>
    <oleObject progId="Equation.3" shapeId="2076" r:id="rId13"/>
    <oleObject progId="Equation.3" shapeId="2075" r:id="rId14"/>
    <oleObject progId="Equation.3" shapeId="2074" r:id="rId15"/>
    <oleObject progId="Equation.3" shapeId="2073" r:id="rId16"/>
    <oleObject progId="Equation.3" shapeId="2072" r:id="rId17"/>
    <oleObject progId="Equation.3" shapeId="2071" r:id="rId18"/>
    <oleObject progId="Equation.3" shapeId="2070" r:id="rId19"/>
    <oleObject progId="Equation.3" shapeId="2069" r:id="rId20"/>
    <oleObject progId="Equation.3" shapeId="2067" r:id="rId21"/>
    <oleObject progId="Equation.3" shapeId="2066" r:id="rId22"/>
    <oleObject progId="Equation.3" shapeId="2065" r:id="rId23"/>
    <oleObject progId="Equation.3" shapeId="2064" r:id="rId24"/>
    <oleObject progId="Equation.3" shapeId="2063" r:id="rId25"/>
    <oleObject progId="Equation.3" shapeId="2062" r:id="rId26"/>
    <oleObject progId="Equation.3" shapeId="2061" r:id="rId27"/>
    <oleObject progId="Equation.3" shapeId="2060" r:id="rId28"/>
    <oleObject progId="Equation.3" shapeId="2068" r:id="rId29"/>
    <oleObject progId="Equation.3" shapeId="2059" r:id="rId30"/>
  </oleObjec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.38"/>
    <col customWidth="1" min="2" max="2" width="3.13"/>
    <col customWidth="1" min="3" max="3" width="5.5"/>
    <col customWidth="1" min="4" max="4" width="9.13"/>
    <col customWidth="1" min="5" max="5" width="11.88"/>
    <col customWidth="1" min="6" max="6" width="13.63"/>
    <col customWidth="1" min="7" max="7" width="13.38"/>
    <col customWidth="1" min="8" max="8" width="14.38"/>
    <col customWidth="1" min="9" max="9" width="14.5"/>
    <col customWidth="1" min="10" max="10" width="14.0"/>
    <col customWidth="1" min="11" max="11" width="9.5"/>
    <col customWidth="1" min="12" max="12" width="12.88"/>
    <col customWidth="1" min="13" max="13" width="14.5"/>
    <col customWidth="1" min="14" max="14" width="10.88"/>
    <col customWidth="1" min="15" max="15" width="9.38"/>
    <col customWidth="1" min="16" max="26" width="9.13"/>
  </cols>
  <sheetData>
    <row r="1">
      <c r="A1" s="9" t="s">
        <v>3</v>
      </c>
      <c r="B1" s="9" t="s">
        <v>5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9"/>
      <c r="B2" s="9" t="s">
        <v>6</v>
      </c>
      <c r="C2" s="9" t="s">
        <v>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9"/>
      <c r="B3" s="9"/>
      <c r="C3" s="9"/>
      <c r="D3" s="17" t="s">
        <v>10</v>
      </c>
      <c r="E3" s="10"/>
      <c r="F3" s="10"/>
      <c r="G3" s="18">
        <f>'Nhập dữ liệu'!E16</f>
        <v>3</v>
      </c>
      <c r="H3" s="10" t="s">
        <v>11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9"/>
      <c r="B4" s="9"/>
      <c r="C4" s="9"/>
      <c r="D4" s="17" t="s">
        <v>13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9"/>
      <c r="B5" s="9"/>
      <c r="C5" s="9"/>
      <c r="D5" s="17" t="s">
        <v>14</v>
      </c>
      <c r="E5" s="10"/>
      <c r="F5" s="10"/>
      <c r="G5" s="10"/>
      <c r="H5" s="10"/>
      <c r="I5" s="10"/>
      <c r="J5" s="10"/>
      <c r="K5" s="10"/>
      <c r="L5" s="10"/>
      <c r="M5" s="18" t="s">
        <v>16</v>
      </c>
      <c r="N5" s="10">
        <v>220.0</v>
      </c>
      <c r="O5" s="10" t="s">
        <v>17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9"/>
      <c r="B6" s="9"/>
      <c r="C6" s="9"/>
      <c r="D6" s="17" t="s">
        <v>18</v>
      </c>
      <c r="E6" s="10"/>
      <c r="F6" s="10"/>
      <c r="G6" s="26" t="s">
        <v>19</v>
      </c>
      <c r="H6" s="10">
        <f>'Tính Bản'!Q16</f>
        <v>300</v>
      </c>
      <c r="I6" s="10" t="s">
        <v>21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9"/>
      <c r="B7" s="9"/>
      <c r="C7" s="9" t="s">
        <v>22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9"/>
      <c r="B8" s="9"/>
      <c r="C8" s="9"/>
      <c r="D8" s="10"/>
      <c r="E8" s="10"/>
      <c r="F8" s="10"/>
      <c r="G8" s="10"/>
      <c r="H8" s="10"/>
      <c r="I8" s="10"/>
      <c r="J8" s="10">
        <f>H6/1000</f>
        <v>0.3</v>
      </c>
      <c r="K8" s="10">
        <f>'Nhập dữ liệu'!D19/1000</f>
        <v>0.34</v>
      </c>
      <c r="L8" s="10">
        <f>N5/1000</f>
        <v>0.22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9"/>
      <c r="B9" s="9"/>
      <c r="C9" s="9"/>
      <c r="D9" s="17" t="s">
        <v>23</v>
      </c>
      <c r="E9" s="10"/>
      <c r="F9" s="29"/>
      <c r="G9" s="10"/>
      <c r="H9" s="18">
        <f>'Nhập dữ liệu'!C13</f>
        <v>5.4</v>
      </c>
      <c r="I9" s="30" t="s">
        <v>24</v>
      </c>
      <c r="J9" s="17" t="s">
        <v>25</v>
      </c>
      <c r="K9" s="17" t="s">
        <v>26</v>
      </c>
      <c r="L9" s="17" t="s">
        <v>27</v>
      </c>
      <c r="M9" s="10">
        <f>H9-J8/J10-K8/K10+L8/2</f>
        <v>5.19</v>
      </c>
      <c r="N9" s="10" t="s">
        <v>31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9"/>
      <c r="B10" s="9"/>
      <c r="C10" s="9"/>
      <c r="D10" s="10"/>
      <c r="E10" s="10"/>
      <c r="F10" s="10"/>
      <c r="G10" s="10"/>
      <c r="H10" s="10"/>
      <c r="I10" s="10"/>
      <c r="J10" s="10">
        <v>2.0</v>
      </c>
      <c r="K10" s="10">
        <v>2.0</v>
      </c>
      <c r="L10" s="10">
        <v>2.0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9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9"/>
      <c r="B12" s="9"/>
      <c r="C12" s="9"/>
      <c r="D12" s="17" t="s">
        <v>34</v>
      </c>
      <c r="E12" s="10"/>
      <c r="F12" s="10"/>
      <c r="G12" s="40" t="s">
        <v>37</v>
      </c>
      <c r="H12" s="10"/>
      <c r="I12" s="10">
        <f>H9</f>
        <v>5.4</v>
      </c>
      <c r="J12" s="17" t="s">
        <v>24</v>
      </c>
      <c r="K12" s="10">
        <f>H6/1000</f>
        <v>0.3</v>
      </c>
      <c r="L12" s="17" t="s">
        <v>40</v>
      </c>
      <c r="M12" s="10">
        <f>I12-K12</f>
        <v>5.1</v>
      </c>
      <c r="N12" s="10" t="s">
        <v>42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9"/>
      <c r="B13" s="9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9"/>
      <c r="B14" s="9"/>
      <c r="C14" s="9"/>
      <c r="D14" s="17" t="s">
        <v>45</v>
      </c>
      <c r="E14" s="10"/>
      <c r="F14" s="10"/>
      <c r="G14" s="47" t="s">
        <v>46</v>
      </c>
      <c r="H14" s="49">
        <f>M9</f>
        <v>5.19</v>
      </c>
      <c r="I14" s="51" t="s">
        <v>24</v>
      </c>
      <c r="J14" s="49">
        <f>M12</f>
        <v>5.1</v>
      </c>
      <c r="K14" s="10" t="s">
        <v>47</v>
      </c>
      <c r="L14" s="17" t="s">
        <v>40</v>
      </c>
      <c r="M14" s="55">
        <f>(H14-J14)/I15</f>
        <v>0.01734104046</v>
      </c>
      <c r="N14" s="10" t="s">
        <v>49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9"/>
      <c r="B15" s="9"/>
      <c r="C15" s="9"/>
      <c r="D15" s="10"/>
      <c r="E15" s="10"/>
      <c r="F15" s="10"/>
      <c r="G15" s="10"/>
      <c r="H15" s="10"/>
      <c r="I15" s="18">
        <f>M9</f>
        <v>5.19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9"/>
      <c r="B16" s="9"/>
      <c r="C16" s="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9"/>
      <c r="B17" s="9"/>
      <c r="C17" s="9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9"/>
      <c r="B18" s="9"/>
      <c r="C18" s="9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9"/>
      <c r="B19" s="9"/>
      <c r="C19" s="9"/>
      <c r="D19" s="11" t="s">
        <v>4</v>
      </c>
      <c r="E19" s="12"/>
      <c r="F19" s="12"/>
      <c r="G19" s="12"/>
      <c r="H19" s="12"/>
      <c r="I19" s="12"/>
      <c r="J19" s="13"/>
      <c r="K19" s="4"/>
      <c r="L19" s="4"/>
      <c r="M19" s="4"/>
      <c r="N19" s="4"/>
      <c r="O19" s="4"/>
      <c r="P19" s="4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9"/>
      <c r="B20" s="9"/>
      <c r="C20" s="9"/>
      <c r="D20" s="14"/>
      <c r="E20" s="15"/>
      <c r="F20" s="15"/>
      <c r="G20" s="15"/>
      <c r="H20" s="15"/>
      <c r="I20" s="15"/>
      <c r="J20" s="16"/>
      <c r="K20" s="4"/>
      <c r="L20" s="4"/>
      <c r="M20" s="4"/>
      <c r="N20" s="4"/>
      <c r="O20" s="4"/>
      <c r="P20" s="4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9"/>
      <c r="B21" s="9"/>
      <c r="C21" s="9"/>
      <c r="D21" s="73" t="s">
        <v>12</v>
      </c>
      <c r="E21" s="20"/>
      <c r="F21" s="20"/>
      <c r="G21" s="20"/>
      <c r="H21" s="20"/>
      <c r="I21" s="20"/>
      <c r="J21" s="21"/>
      <c r="K21" s="4"/>
      <c r="L21" s="4"/>
      <c r="M21" s="4"/>
      <c r="N21" s="4"/>
      <c r="O21" s="4"/>
      <c r="P21" s="4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9"/>
      <c r="B22" s="9"/>
      <c r="C22" s="9"/>
      <c r="D22" s="74"/>
      <c r="E22" s="75"/>
      <c r="F22" s="75"/>
      <c r="G22" s="75"/>
      <c r="H22" s="75"/>
      <c r="I22" s="75"/>
      <c r="J22" s="76"/>
      <c r="K22" s="4"/>
      <c r="L22" s="4"/>
      <c r="M22" s="4"/>
      <c r="N22" s="4"/>
      <c r="O22" s="4"/>
      <c r="P22" s="4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9"/>
      <c r="B23" s="9"/>
      <c r="C23" s="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9"/>
      <c r="B24" s="9"/>
      <c r="C24" s="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9"/>
      <c r="B25" s="9"/>
      <c r="C25" s="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9"/>
      <c r="B26" s="9"/>
      <c r="C26" s="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9"/>
      <c r="B27" s="9" t="s">
        <v>65</v>
      </c>
      <c r="C27" s="9" t="s">
        <v>66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9"/>
      <c r="B28" s="9"/>
      <c r="C28" s="9" t="s">
        <v>67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9"/>
      <c r="B29" s="9"/>
      <c r="C29" s="9"/>
      <c r="D29" s="17" t="s">
        <v>68</v>
      </c>
      <c r="E29" s="10"/>
      <c r="F29" s="10"/>
      <c r="G29" s="10"/>
      <c r="H29" s="10"/>
      <c r="I29" s="10"/>
      <c r="J29" s="10">
        <f>'Tính Bản'!$M$5</f>
        <v>90</v>
      </c>
      <c r="K29" s="10" t="s">
        <v>71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9"/>
      <c r="B30" s="9"/>
      <c r="C30" s="9"/>
      <c r="D30" s="10"/>
      <c r="E30" s="18" t="s">
        <v>73</v>
      </c>
      <c r="F30" s="10"/>
      <c r="G30" s="10">
        <f>'Tính Bản'!$Q$11/1000</f>
        <v>0.22</v>
      </c>
      <c r="H30" s="18" t="s">
        <v>76</v>
      </c>
      <c r="I30" s="10">
        <f>'Tính Bản'!$N$11/1000</f>
        <v>0.5</v>
      </c>
      <c r="J30" s="30" t="s">
        <v>24</v>
      </c>
      <c r="K30" s="10">
        <f>'Tính Bản'!$M$5/1000</f>
        <v>0.09</v>
      </c>
      <c r="L30" s="10" t="s">
        <v>78</v>
      </c>
      <c r="M30" s="18">
        <v>25.0</v>
      </c>
      <c r="N30" s="10">
        <f>'Nhập dữ liệu'!G25</f>
        <v>1.1</v>
      </c>
      <c r="O30" s="17" t="s">
        <v>40</v>
      </c>
      <c r="P30" s="10">
        <f>G30*(I30-K30)*M30*N30</f>
        <v>2.4805</v>
      </c>
      <c r="Q30" s="10" t="s">
        <v>79</v>
      </c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9"/>
      <c r="B31" s="9"/>
      <c r="C31" s="9"/>
      <c r="D31" s="17" t="s">
        <v>80</v>
      </c>
      <c r="E31" s="10"/>
      <c r="F31" s="10"/>
      <c r="G31" s="18" t="s">
        <v>83</v>
      </c>
      <c r="H31" s="91">
        <f>'Tính Bản'!$F$48</f>
        <v>4.129</v>
      </c>
      <c r="I31" s="92" t="s">
        <v>84</v>
      </c>
      <c r="J31" s="47">
        <f>'Nhập dữ liệu'!B13</f>
        <v>2.6</v>
      </c>
      <c r="K31" s="17" t="s">
        <v>40</v>
      </c>
      <c r="L31" s="93">
        <f>H31*J31</f>
        <v>10.7354</v>
      </c>
      <c r="M31" s="10" t="s">
        <v>79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9"/>
      <c r="B32" s="9"/>
      <c r="C32" s="9"/>
      <c r="D32" s="17" t="s">
        <v>87</v>
      </c>
      <c r="E32" s="10"/>
      <c r="F32" s="10"/>
      <c r="G32" s="18" t="s">
        <v>88</v>
      </c>
      <c r="H32" s="10"/>
      <c r="I32" s="10">
        <f>P30</f>
        <v>2.4805</v>
      </c>
      <c r="J32" s="30" t="s">
        <v>89</v>
      </c>
      <c r="K32" s="93">
        <f>L31</f>
        <v>10.7354</v>
      </c>
      <c r="L32" s="17" t="s">
        <v>40</v>
      </c>
      <c r="M32" s="93">
        <f>I32+K32</f>
        <v>13.2159</v>
      </c>
      <c r="N32" s="10" t="s">
        <v>90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9"/>
      <c r="B33" s="9"/>
      <c r="C33" s="9" t="s">
        <v>91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9"/>
      <c r="B34" s="9"/>
      <c r="C34" s="9"/>
      <c r="D34" s="17" t="s">
        <v>94</v>
      </c>
      <c r="E34" s="10"/>
      <c r="F34" s="10"/>
      <c r="G34" s="18" t="s">
        <v>95</v>
      </c>
      <c r="H34" s="10"/>
      <c r="I34" s="93">
        <f>'Tính Bản'!$K$49</f>
        <v>7.15</v>
      </c>
      <c r="J34" s="92" t="s">
        <v>84</v>
      </c>
      <c r="K34" s="10">
        <f>'Nhập dữ liệu'!B13</f>
        <v>2.6</v>
      </c>
      <c r="L34" s="17" t="s">
        <v>40</v>
      </c>
      <c r="M34" s="93">
        <f>I34*K34</f>
        <v>18.59</v>
      </c>
      <c r="N34" s="10" t="s">
        <v>90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9"/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9"/>
      <c r="B36" s="9"/>
      <c r="C36" s="9" t="s">
        <v>101</v>
      </c>
      <c r="D36" s="10"/>
      <c r="E36" s="10"/>
      <c r="F36" s="10"/>
      <c r="G36" s="10"/>
      <c r="H36" s="40" t="s">
        <v>102</v>
      </c>
      <c r="I36" s="10"/>
      <c r="J36" s="93">
        <f>M32</f>
        <v>13.2159</v>
      </c>
      <c r="K36" s="17" t="s">
        <v>89</v>
      </c>
      <c r="L36" s="93">
        <f>M34</f>
        <v>18.59</v>
      </c>
      <c r="M36" s="17" t="s">
        <v>40</v>
      </c>
      <c r="N36" s="93">
        <f>J36+L36</f>
        <v>31.8059</v>
      </c>
      <c r="O36" s="10" t="s">
        <v>90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9"/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9"/>
      <c r="B38" s="9"/>
      <c r="C38" s="9"/>
      <c r="D38" s="17" t="s">
        <v>104</v>
      </c>
      <c r="E38" s="49" t="s">
        <v>105</v>
      </c>
      <c r="F38" s="99" t="s">
        <v>40</v>
      </c>
      <c r="G38" s="100">
        <f>M34</f>
        <v>18.59</v>
      </c>
      <c r="H38" s="99" t="s">
        <v>40</v>
      </c>
      <c r="I38" s="93">
        <f>G38/G39</f>
        <v>1.406638973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9"/>
      <c r="B39" s="9"/>
      <c r="C39" s="9"/>
      <c r="D39" s="10"/>
      <c r="E39" s="26" t="s">
        <v>106</v>
      </c>
      <c r="F39" s="10"/>
      <c r="G39" s="93">
        <f>M32</f>
        <v>13.2159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9"/>
      <c r="B40" s="9" t="s">
        <v>111</v>
      </c>
      <c r="C40" s="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9"/>
      <c r="B41" s="9"/>
      <c r="C41" s="9" t="s">
        <v>112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9"/>
      <c r="B42" s="9"/>
      <c r="C42" s="9"/>
      <c r="D42" s="17" t="s">
        <v>114</v>
      </c>
      <c r="E42" s="10"/>
      <c r="F42" s="10"/>
      <c r="G42" s="10"/>
      <c r="H42" s="10"/>
      <c r="I42" s="10"/>
      <c r="J42" s="103">
        <v>2.0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9"/>
      <c r="B43" s="9"/>
      <c r="C43" s="9"/>
      <c r="D43" s="30" t="s">
        <v>117</v>
      </c>
      <c r="E43" s="10" t="s">
        <v>118</v>
      </c>
      <c r="F43" s="10"/>
      <c r="G43" s="29"/>
      <c r="H43" s="10"/>
      <c r="I43" s="93">
        <f>N36</f>
        <v>31.8059</v>
      </c>
      <c r="J43" s="10">
        <f>M9</f>
        <v>5.19</v>
      </c>
      <c r="K43" s="30" t="s">
        <v>40</v>
      </c>
      <c r="L43" s="104" t="s">
        <v>122</v>
      </c>
      <c r="M43" s="10">
        <f>I43*J43*J43</f>
        <v>856.726903</v>
      </c>
      <c r="N43" s="10" t="s">
        <v>123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9"/>
      <c r="B44" s="9"/>
      <c r="C44" s="9"/>
      <c r="D44" s="18"/>
      <c r="E44" s="10"/>
      <c r="F44" s="10"/>
      <c r="G44" s="10"/>
      <c r="H44" s="10"/>
      <c r="I44" s="10"/>
      <c r="J44" s="103">
        <v>2.0</v>
      </c>
      <c r="K44" s="18"/>
      <c r="L44" s="104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9"/>
      <c r="B45" s="9"/>
      <c r="C45" s="9"/>
      <c r="D45" s="30" t="s">
        <v>117</v>
      </c>
      <c r="E45" s="10" t="s">
        <v>126</v>
      </c>
      <c r="F45" s="10"/>
      <c r="G45" s="29"/>
      <c r="H45" s="10"/>
      <c r="I45" s="93">
        <f>N36</f>
        <v>31.8059</v>
      </c>
      <c r="J45" s="10">
        <f>M12</f>
        <v>5.1</v>
      </c>
      <c r="K45" s="30" t="s">
        <v>40</v>
      </c>
      <c r="L45" s="104" t="s">
        <v>127</v>
      </c>
      <c r="M45" s="10">
        <f>I45*J45*J45</f>
        <v>827.271459</v>
      </c>
      <c r="N45" s="10" t="s">
        <v>123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9"/>
      <c r="B46" s="9"/>
      <c r="C46" s="9"/>
      <c r="D46" s="10"/>
      <c r="E46" s="10"/>
      <c r="F46" s="10"/>
      <c r="G46" s="10"/>
      <c r="H46" s="10"/>
      <c r="I46" s="10"/>
      <c r="J46" s="10"/>
      <c r="K46" s="10"/>
      <c r="L46" s="103">
        <v>2.0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9"/>
      <c r="B47" s="9"/>
      <c r="C47" s="9"/>
      <c r="D47" s="17" t="s">
        <v>131</v>
      </c>
      <c r="E47" s="10"/>
      <c r="F47" s="10"/>
      <c r="G47" s="10"/>
      <c r="H47" s="10"/>
      <c r="I47" s="29"/>
      <c r="J47" s="10"/>
      <c r="K47" s="93">
        <f>N36</f>
        <v>31.8059</v>
      </c>
      <c r="L47" s="10">
        <f>J45</f>
        <v>5.1</v>
      </c>
      <c r="M47" s="30" t="s">
        <v>40</v>
      </c>
      <c r="N47" s="104" t="s">
        <v>132</v>
      </c>
      <c r="O47" s="10">
        <f>K47*L47*L47</f>
        <v>827.271459</v>
      </c>
      <c r="P47" s="10" t="s">
        <v>123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9"/>
      <c r="B48" s="9"/>
      <c r="C48" s="9"/>
      <c r="D48" s="10" t="s">
        <v>135</v>
      </c>
      <c r="E48" s="10"/>
      <c r="F48" s="10"/>
      <c r="G48" s="10"/>
      <c r="H48" s="10"/>
      <c r="I48" s="10"/>
      <c r="J48" s="10"/>
      <c r="K48" s="10"/>
      <c r="L48" s="10"/>
      <c r="M48" s="47" t="s">
        <v>136</v>
      </c>
      <c r="N48" s="30" t="s">
        <v>137</v>
      </c>
      <c r="O48" s="106" t="s">
        <v>138</v>
      </c>
      <c r="P48" s="17" t="s">
        <v>40</v>
      </c>
      <c r="Q48" s="93">
        <f>I38</f>
        <v>1.406638973</v>
      </c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9"/>
      <c r="B49" s="9"/>
      <c r="C49" s="9"/>
      <c r="D49" s="10" t="s">
        <v>141</v>
      </c>
      <c r="E49" s="10"/>
      <c r="F49" s="107">
        <f>IF(Q48&lt;=0.5,0.167,IF(AND(Q48&gt;0.5,Q48&lt;1),0.167+(Q48-0.5)*0.066,IF(AND(Q48&gt;1,Q48&lt;1.5),0.2+(Q48-1)*0.056,IF(AND(Q48&gt;1.5,Q48&lt;2),0.228+(Q48-1.5)*0.044,IF(AND(Q48&gt;2,Q48&lt;2.5),0.25+(Q48-2)*0.04,IF(AND(Q48&gt;2.5,Q48&lt;3),0.27+(Q48-2.5)*0.03,IF(AND(Q48&gt;3,Q48&lt;4,0.285+(Q48-3)*0.058),IF(AND(Q48&gt;4,Q48&lt;5),0.314+(Q48-4)*0.6038,""))))))))</f>
        <v>0.2227717825</v>
      </c>
      <c r="G49" s="10" t="s">
        <v>144</v>
      </c>
      <c r="H49" s="10"/>
      <c r="I49" s="108" t="s">
        <v>145</v>
      </c>
      <c r="J49" s="10" t="s">
        <v>146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9"/>
      <c r="B50" s="9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9"/>
      <c r="B51" s="9"/>
      <c r="C51" s="9"/>
      <c r="D51" s="9" t="s">
        <v>148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9"/>
      <c r="B52" s="9"/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9"/>
      <c r="B53" s="9"/>
      <c r="C53" s="9"/>
      <c r="D53" s="111"/>
      <c r="E53" s="112"/>
      <c r="F53" s="113" t="s">
        <v>151</v>
      </c>
      <c r="G53" s="114" t="s">
        <v>152</v>
      </c>
      <c r="H53" s="111" t="s">
        <v>153</v>
      </c>
      <c r="I53" s="112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9"/>
      <c r="B54" s="9"/>
      <c r="C54" s="9"/>
      <c r="D54" s="116" t="s">
        <v>154</v>
      </c>
      <c r="E54" s="118" t="s">
        <v>155</v>
      </c>
      <c r="F54" s="119" t="s">
        <v>156</v>
      </c>
      <c r="G54" s="119" t="s">
        <v>157</v>
      </c>
      <c r="H54" s="120" t="s">
        <v>158</v>
      </c>
      <c r="I54" s="120" t="s">
        <v>160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9"/>
      <c r="B55" s="9"/>
      <c r="C55" s="9"/>
      <c r="D55" s="113" t="s">
        <v>154</v>
      </c>
      <c r="E55" s="121" t="s">
        <v>163</v>
      </c>
      <c r="F55" s="123"/>
      <c r="G55" s="123"/>
      <c r="H55" s="124"/>
      <c r="I55" s="124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9"/>
      <c r="B56" s="9"/>
      <c r="C56" s="9"/>
      <c r="D56" s="113" t="s">
        <v>164</v>
      </c>
      <c r="E56" s="121">
        <v>1.0</v>
      </c>
      <c r="F56" s="123"/>
      <c r="G56" s="123"/>
      <c r="H56" s="124"/>
      <c r="I56" s="124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9"/>
      <c r="B57" s="9"/>
      <c r="C57" s="9"/>
      <c r="D57" s="113">
        <v>1.0</v>
      </c>
      <c r="E57" s="121"/>
      <c r="F57" s="123">
        <v>0.065</v>
      </c>
      <c r="G57" s="123"/>
      <c r="H57" s="124">
        <f>F57*M43</f>
        <v>55.68724869</v>
      </c>
      <c r="I57" s="124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9"/>
      <c r="B58" s="9"/>
      <c r="C58" s="9"/>
      <c r="D58" s="113">
        <v>2.0</v>
      </c>
      <c r="E58" s="121"/>
      <c r="F58" s="123">
        <v>0.09</v>
      </c>
      <c r="G58" s="123"/>
      <c r="H58" s="124">
        <f>F58*M43</f>
        <v>77.10542127</v>
      </c>
      <c r="I58" s="124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9"/>
      <c r="B59" s="9"/>
      <c r="C59" s="9"/>
      <c r="D59" s="113" t="s">
        <v>166</v>
      </c>
      <c r="E59" s="121"/>
      <c r="F59" s="123">
        <v>0.091</v>
      </c>
      <c r="G59" s="123"/>
      <c r="H59" s="124">
        <f>F59*M43</f>
        <v>77.96214817</v>
      </c>
      <c r="I59" s="12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9"/>
      <c r="B60" s="9"/>
      <c r="C60" s="9"/>
      <c r="D60" s="113">
        <v>3.0</v>
      </c>
      <c r="E60" s="121"/>
      <c r="F60" s="123">
        <v>0.075</v>
      </c>
      <c r="G60" s="123"/>
      <c r="H60" s="124">
        <f>F60*M43</f>
        <v>64.25451772</v>
      </c>
      <c r="I60" s="124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9"/>
      <c r="B61" s="9"/>
      <c r="C61" s="9"/>
      <c r="D61" s="113">
        <v>4.0</v>
      </c>
      <c r="E61" s="121"/>
      <c r="F61" s="123">
        <v>0.02</v>
      </c>
      <c r="G61" s="123"/>
      <c r="H61" s="124">
        <f>F61*M43</f>
        <v>17.13453806</v>
      </c>
      <c r="I61" s="124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9"/>
      <c r="B62" s="9"/>
      <c r="C62" s="9"/>
      <c r="D62" s="113" t="s">
        <v>169</v>
      </c>
      <c r="E62" s="121" t="s">
        <v>170</v>
      </c>
      <c r="F62" s="123"/>
      <c r="G62" s="123">
        <v>-0.0715</v>
      </c>
      <c r="H62" s="124"/>
      <c r="I62" s="124">
        <f>G62*M43</f>
        <v>-61.25597356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9"/>
      <c r="B63" s="9"/>
      <c r="C63" s="9"/>
      <c r="D63" s="113" t="s">
        <v>154</v>
      </c>
      <c r="E63" s="121">
        <v>2.0</v>
      </c>
      <c r="F63" s="123"/>
      <c r="G63" s="123"/>
      <c r="H63" s="124"/>
      <c r="I63" s="124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9"/>
      <c r="B64" s="9"/>
      <c r="C64" s="9"/>
      <c r="D64" s="113">
        <v>6.0</v>
      </c>
      <c r="E64" s="121"/>
      <c r="F64" s="123">
        <v>0.018</v>
      </c>
      <c r="G64" s="123">
        <f>IF(Q48&lt;=0.5,-0.01,IF(AND(Q48&gt;0.5,Q48&lt;1),-0.01*(1+(Q48-0.5)*2),IF(AND(Q48&gt;1,Q48&lt;1.5),-0.01*(2+(Q48-1)*1.2),IF(AND(Q48&gt;1.5,Q48&lt;2),-0.01*(2.6+(Q48-1.5)*0.8),IF(AND(Q48&gt;2,Q48&lt;2.5),-0.01*(3+(Q48-2)*0.6),IF(AND(Q48&gt;2.5,Q48&lt;3),-0.01*(3.3+(Q48-2.5)*0.4),IF(AND(Q48&gt;3,Q48&lt;4),-0.01*(3.5+(Q48-3)*0.6),IF(AND(Q48&gt;4,Q48&lt;5),-0.01*(3.8+(Q48-4)*0.4),""))))))))</f>
        <v>-0.02487966767</v>
      </c>
      <c r="H64" s="124">
        <f>F64*M45</f>
        <v>14.89088626</v>
      </c>
      <c r="I64" s="124">
        <f>G64*O47</f>
        <v>-20.58223898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9"/>
      <c r="B65" s="9"/>
      <c r="C65" s="9"/>
      <c r="D65" s="113">
        <v>7.0</v>
      </c>
      <c r="E65" s="121"/>
      <c r="F65" s="123">
        <v>0.058</v>
      </c>
      <c r="G65" s="144">
        <f>IF(Q48&lt;=0.5,-0.01*(-2.2),IF(AND(Q48&gt;0.5,Q48&lt;1),-0.01*(-2.2+(Q48-0.5)*1.2),IF(AND(Q48&gt;1,Q48&lt;1.5),-0.01*(-1.6+(Q48-1)*3.8),IF(AND(Q48&gt;1.5,Q48&lt;2),-0.01*(0.3+(Q48-1.5)*1.2),IF(AND(Q48&gt;2,Q48&lt;2.5),-0.01*(0.9+(Q48-2)*0.6),IF(AND(Q48&gt;2.5,Q48&lt;3),-0.01*(1.2+(Q48-2.5)*0.6),IF(AND(Q48&gt;3,Q48&lt;4),-0.01*(1.6+(Q48-3)*1),IF(AND(Q48&gt;4,Q48&lt;5),-0.01*(2.1+(Q48-4)*0.6),""))))))))</f>
        <v>0.0005477190354</v>
      </c>
      <c r="H65" s="124">
        <f>F65*M45</f>
        <v>47.98174462</v>
      </c>
      <c r="I65" s="124">
        <f>G65*O47</f>
        <v>0.4531123255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9"/>
      <c r="B66" s="9"/>
      <c r="C66" s="9"/>
      <c r="D66" s="147" t="s">
        <v>182</v>
      </c>
      <c r="E66" s="142"/>
      <c r="F66" s="148">
        <v>0.0625</v>
      </c>
      <c r="G66" s="148"/>
      <c r="H66" s="149">
        <f>F66*M45</f>
        <v>51.70446619</v>
      </c>
      <c r="I66" s="14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9"/>
      <c r="B67" s="9"/>
      <c r="C67" s="9"/>
      <c r="D67" s="150" t="str">
        <f>IF(OR(G3=4,G3=5),"8","")</f>
        <v/>
      </c>
      <c r="E67" s="151"/>
      <c r="F67" s="152" t="str">
        <f>IF(OR(G3=4,G3=5),0.058,"")</f>
        <v/>
      </c>
      <c r="G67" s="152" t="str">
        <f>IF(G3&lt;4,"",IF(Q48&lt;=0.5,-0.01*(-2.4),IF(AND(Q48&gt;0.5,Q48&lt;1),-0.01*(-2.4+(Q48-0.5)*3),IF(AND(Q48&gt;1,Q48&lt;1.5),-0.01*(-0.9+(Q48-1)*1.8),IF(AND(Q48&gt;1.5,Q48&lt;2),-0.01*(0+(Q48-1.5)*1.2),IF(AND(Q48&gt;2,Q48&lt;2.5),-0.01*(0.6+(Q48-2)*0.6),IF(AND(Q48&gt;2.5,Q48&lt;3),-0.01*(0.9+(Q48-2.5)*1),IF(AND(Q48&gt;3,Q48&lt;4),-0.01*(1.4+(Q48-3)*0.8),IF(AND(Q48&gt;4,Q48&lt;5),-0.01*(1.8+(Q48-4)*0.6),"")))))))))</f>
        <v/>
      </c>
      <c r="H67" s="153" t="str">
        <f>IF(OR(G3=4,G3=5),F67*M45,"")</f>
        <v/>
      </c>
      <c r="I67" s="153" t="str">
        <f>IF(G3&lt;4,"",G67*O47)</f>
        <v/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9"/>
      <c r="B68" s="9"/>
      <c r="C68" s="9"/>
      <c r="D68" s="154" t="str">
        <f>IF(OR(G3=4,G3=5),"9","")</f>
        <v/>
      </c>
      <c r="E68" s="155"/>
      <c r="F68" s="152" t="str">
        <f>IF(OR(G3=4,G3=5),0.018,"")</f>
        <v/>
      </c>
      <c r="G68" s="156" t="str">
        <f>IF(G3&lt;4,"",IF(Q48&lt;=0.5,-0.01*(-0.4),IF(AND(Q48&gt;0.5,Q48&lt;1),-0.01*(-0.4+(Q48-0.5)*3.6),IF(AND(Q48&gt;1,Q48&lt;1.5),-0.01*(1.4+(Q48-1)*1.2),IF(AND(Q48&gt;1.5,Q48&lt;2),-0.01*(2+(Q48-1.5)*0.8),IF(AND(Q48&gt;2,Q48&lt;2.5),-0.01*(2.4+(Q48-2)*0.6),IF(AND(Q48&gt;2.5,Q48&lt;3),-0.01*(2.7+(Q48-2.5)*0.4),IF(AND(Q48&gt;3,Q48&lt;4),-0.01*(2.9+(Q48-3)*0.6),IF(AND(Q48&gt;4,Q48&lt;5),-0.01*(3.2+(Q48-4)*0.4),"")))))))))</f>
        <v/>
      </c>
      <c r="H68" s="153" t="str">
        <f>IF(OR(G3=4,G3=5),F68*M45,"")</f>
        <v/>
      </c>
      <c r="I68" s="153" t="str">
        <f>IF(G3&lt;4,"",G68*O47)</f>
        <v/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9"/>
      <c r="B69" s="9"/>
      <c r="C69" s="9"/>
      <c r="D69" s="150" t="str">
        <f>IF(OR(G3=4,G3=5),"Gối 3  -","")</f>
        <v/>
      </c>
      <c r="E69" s="151" t="str">
        <f>IF(OR(G3=4,G3=5),"td10","")</f>
        <v/>
      </c>
      <c r="F69" s="152"/>
      <c r="G69" s="152" t="str">
        <f>IF(OR(G3=4,G3=5),-0.0625,"")</f>
        <v/>
      </c>
      <c r="H69" s="153"/>
      <c r="I69" s="153" t="str">
        <f>IF(G3&lt;4,"",G69*O47)</f>
        <v/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9"/>
      <c r="B70" s="9"/>
      <c r="C70" s="9"/>
      <c r="D70" s="157" t="str">
        <f>IF(G3=5,"Nhịp","")</f>
        <v/>
      </c>
      <c r="E70" s="158" t="str">
        <f>IF(G3=5,"giữa","")</f>
        <v/>
      </c>
      <c r="F70" s="159"/>
      <c r="G70" s="159"/>
      <c r="H70" s="160"/>
      <c r="I70" s="16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9"/>
      <c r="B71" s="9"/>
      <c r="C71" s="9"/>
      <c r="D71" s="161" t="str">
        <f>IF(G3=5,"11","")</f>
        <v/>
      </c>
      <c r="E71" s="162"/>
      <c r="F71" s="159" t="str">
        <f>IF(G3=5,0.018,"")</f>
        <v/>
      </c>
      <c r="G71" s="164" t="str">
        <f>IF(G3&lt;5,"",IF(Q48&lt;=0.5,-0.01*(0.3),IF(AND(Q48&gt;0.5,Q48&lt;1),-0.01*(0.3+(Q48-0.5)*2),IF(AND(Q48&gt;1,Q48&lt;1.5),-0.01*(1.3+(Q48-1)*1.2),IF(AND(Q48&gt;1.5,Q48&lt;2),-0.01*(1.9+(Q48-1.5)*0.8),IF(AND(Q48&gt;2,Q48&lt;2.5),-0.01*(2.3+(Q48-2)*0.4),IF(AND(Q48&gt;2.5,Q48&lt;3),-0.01*(2.5+(Q48-2.5)*0.6),IF(AND(Q48&gt;3,Q48&lt;4),-0.01*(2.8+(Q48-3)*0.4),IF(AND(Q48&gt;4,Q48&lt;5),-0.01*(3+(Q48-4)*0.6),"")))))))))</f>
        <v/>
      </c>
      <c r="H71" s="160" t="str">
        <f>IF(G3=5,F71*M45,"")</f>
        <v/>
      </c>
      <c r="I71" s="160" t="str">
        <f>IF(G3&lt;5,"",G71*O47)</f>
        <v/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9"/>
      <c r="B72" s="9"/>
      <c r="C72" s="9"/>
      <c r="D72" s="157" t="str">
        <f>IF(G3=5,"12","")</f>
        <v/>
      </c>
      <c r="E72" s="166"/>
      <c r="F72" s="159" t="str">
        <f>IF(G3=5,0.058,"")</f>
        <v/>
      </c>
      <c r="G72" s="167" t="str">
        <f>IF(G3&lt;5,"",IF(Q48&lt;=0.5,-0.01*(-2.8),IF(AND(Q48&gt;0.5,Q48&lt;1),-0.01*(-2.8+(Q48-0.5)*3),IF(AND(Q48&gt;1,Q48&lt;1.5),-0.01*(-1.3+(Q48-1)*3.4),IF(AND(Q48&gt;1.5,Q48&lt;2),-0.01*(0.4+(Q48-1.5)*(-0.2)),IF(AND(Q48&gt;2,Q48&lt;2.5),-0.01*(0.3+(Q48-2)*0.6),IF(AND(Q48&gt;2.5,Q48&lt;3),-0.01*(0.6+(Q48-2.5)*0.8),IF(AND(Q48&gt;3,Q48&lt;4),-0.01*(1+(Q48-3)*1),IF(AND(Q48&gt;4,Q48&lt;5),-0.01*(1.5+(Q48-4)*0.6),"")))))))))</f>
        <v/>
      </c>
      <c r="H72" s="160" t="str">
        <f>IF(G3=5,F72*M45,"")</f>
        <v/>
      </c>
      <c r="I72" s="160" t="str">
        <f>IF(G3&lt;5,"",G72*O47)</f>
        <v/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9"/>
      <c r="B73" s="9"/>
      <c r="C73" s="9"/>
      <c r="D73" s="157" t="str">
        <f>IF(G3=5,"0,5.l","")</f>
        <v/>
      </c>
      <c r="E73" s="158"/>
      <c r="F73" s="159" t="str">
        <f>IF(G3=5,0.0625,"")</f>
        <v/>
      </c>
      <c r="G73" s="168" t="str">
        <f>G72</f>
        <v/>
      </c>
      <c r="H73" s="160" t="str">
        <f>IF(G3=5,F73*M45,"")</f>
        <v/>
      </c>
      <c r="I73" s="160" t="str">
        <f>IF(G3&lt;5,"",G73*O47)</f>
        <v/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9"/>
      <c r="B74" s="9"/>
      <c r="C74" s="9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9"/>
      <c r="B75" s="9"/>
      <c r="C75" s="9"/>
      <c r="D75" s="17" t="s">
        <v>213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9"/>
      <c r="B76" s="9"/>
      <c r="C76" s="9"/>
      <c r="D76" s="30" t="s">
        <v>117</v>
      </c>
      <c r="E76" s="10" t="s">
        <v>118</v>
      </c>
      <c r="F76" s="10"/>
      <c r="G76" s="18" t="s">
        <v>214</v>
      </c>
      <c r="H76" s="10">
        <v>0.15</v>
      </c>
      <c r="I76" s="92" t="s">
        <v>84</v>
      </c>
      <c r="J76" s="10">
        <f>M9</f>
        <v>5.19</v>
      </c>
      <c r="K76" s="17" t="s">
        <v>40</v>
      </c>
      <c r="L76" s="93">
        <f t="shared" ref="L76:L77" si="1">H76*J76</f>
        <v>0.7785</v>
      </c>
      <c r="M76" s="10" t="s">
        <v>133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9"/>
      <c r="B77" s="9"/>
      <c r="C77" s="9"/>
      <c r="D77" s="30" t="s">
        <v>117</v>
      </c>
      <c r="E77" s="10" t="s">
        <v>126</v>
      </c>
      <c r="F77" s="10"/>
      <c r="G77" s="18" t="s">
        <v>218</v>
      </c>
      <c r="H77" s="10">
        <v>0.15</v>
      </c>
      <c r="I77" s="92" t="s">
        <v>84</v>
      </c>
      <c r="J77" s="10">
        <f>M12</f>
        <v>5.1</v>
      </c>
      <c r="K77" s="17" t="s">
        <v>40</v>
      </c>
      <c r="L77" s="93">
        <f t="shared" si="1"/>
        <v>0.765</v>
      </c>
      <c r="M77" s="10" t="s">
        <v>133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9"/>
      <c r="B78" s="9"/>
      <c r="C78" s="9"/>
      <c r="D78" s="17" t="s">
        <v>222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9"/>
      <c r="B79" s="9"/>
      <c r="C79" s="9"/>
      <c r="D79" s="10"/>
      <c r="E79" s="40" t="s">
        <v>223</v>
      </c>
      <c r="F79" s="10"/>
      <c r="G79" s="170">
        <f>F49</f>
        <v>0.2227717825</v>
      </c>
      <c r="H79" s="171" t="s">
        <v>84</v>
      </c>
      <c r="I79" s="10">
        <f>M9</f>
        <v>5.19</v>
      </c>
      <c r="J79" s="17" t="s">
        <v>40</v>
      </c>
      <c r="K79" s="10">
        <f>G79*I79</f>
        <v>1.156185551</v>
      </c>
      <c r="L79" s="10" t="s">
        <v>133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9"/>
      <c r="B80" s="9"/>
      <c r="C80" s="9" t="s">
        <v>226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9"/>
      <c r="B81" s="9"/>
      <c r="C81" s="9"/>
      <c r="D81" s="10"/>
      <c r="E81" s="29"/>
      <c r="F81" s="10"/>
      <c r="G81" s="93">
        <f>N36</f>
        <v>31.8059</v>
      </c>
      <c r="H81" s="10">
        <f>M9</f>
        <v>5.19</v>
      </c>
      <c r="I81" s="17" t="s">
        <v>40</v>
      </c>
      <c r="J81" s="10">
        <f>G81*H81*0.4</f>
        <v>66.0290484</v>
      </c>
      <c r="K81" s="10" t="s">
        <v>232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9"/>
      <c r="B82" s="9"/>
      <c r="C82" s="9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9"/>
      <c r="B83" s="9"/>
      <c r="C83" s="9"/>
      <c r="D83" s="10"/>
      <c r="E83" s="29"/>
      <c r="F83" s="10"/>
      <c r="G83" s="93">
        <f t="shared" ref="G83:I83" si="2">G81</f>
        <v>31.8059</v>
      </c>
      <c r="H83" s="10">
        <f t="shared" si="2"/>
        <v>5.19</v>
      </c>
      <c r="I83" s="10" t="str">
        <f t="shared" si="2"/>
        <v>=</v>
      </c>
      <c r="J83" s="93">
        <f>G83*H83*0.6</f>
        <v>99.0435726</v>
      </c>
      <c r="K83" s="10" t="s">
        <v>232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9"/>
      <c r="B84" s="9"/>
      <c r="C84" s="9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9"/>
      <c r="B85" s="9"/>
      <c r="C85" s="9"/>
      <c r="D85" s="10"/>
      <c r="E85" s="29"/>
      <c r="F85" s="10"/>
      <c r="G85" s="93">
        <f>G83</f>
        <v>31.8059</v>
      </c>
      <c r="H85" s="10">
        <f>M12</f>
        <v>5.1</v>
      </c>
      <c r="I85" s="17" t="s">
        <v>40</v>
      </c>
      <c r="J85" s="10">
        <f>G85*H85/2</f>
        <v>81.105045</v>
      </c>
      <c r="K85" s="10" t="s">
        <v>232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9"/>
      <c r="B86" s="9" t="s">
        <v>234</v>
      </c>
      <c r="C86" s="9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9"/>
      <c r="B87" s="9"/>
      <c r="C87" s="9"/>
      <c r="D87" s="10" t="s">
        <v>235</v>
      </c>
      <c r="E87" s="10"/>
      <c r="F87" s="10"/>
      <c r="G87" s="10">
        <f>'Nhập dữ liệu'!J13</f>
        <v>20</v>
      </c>
      <c r="H87" s="18" t="s">
        <v>236</v>
      </c>
      <c r="I87" s="10">
        <f>'Nhập Rs thep CV240,300,400 '!E52</f>
        <v>11.5</v>
      </c>
      <c r="J87" s="10" t="s">
        <v>237</v>
      </c>
      <c r="K87" s="173" t="s">
        <v>238</v>
      </c>
      <c r="L87" s="10">
        <f>'Nhập Rs thep CV240,300,400 '!H52</f>
        <v>0.9</v>
      </c>
      <c r="M87" s="10" t="s">
        <v>209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9"/>
      <c r="B88" s="9"/>
      <c r="C88" s="9"/>
      <c r="D88" s="10"/>
      <c r="E88" s="47" t="s">
        <v>239</v>
      </c>
      <c r="F88" s="10" t="str">
        <f>'Nhập Rs thep CV240,300,400 '!G54</f>
        <v>CII</v>
      </c>
      <c r="G88" s="40" t="s">
        <v>240</v>
      </c>
      <c r="H88" s="10">
        <f>'Nhập Rs thep CV240,300,400 '!J54</f>
        <v>260</v>
      </c>
      <c r="I88" s="10" t="s">
        <v>209</v>
      </c>
      <c r="J88" s="173" t="s">
        <v>241</v>
      </c>
      <c r="K88" s="10">
        <f>'Nhập Rs thep CV240,300,400 '!M54</f>
        <v>260</v>
      </c>
      <c r="L88" s="10" t="s">
        <v>209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9"/>
      <c r="B89" s="9"/>
      <c r="C89" s="9"/>
      <c r="D89" s="10"/>
      <c r="E89" s="47" t="s">
        <v>242</v>
      </c>
      <c r="F89" s="10" t="str">
        <f>'Nhập Rs thep CV240,300,400 '!G53</f>
        <v>CI</v>
      </c>
      <c r="G89" s="173" t="s">
        <v>243</v>
      </c>
      <c r="H89" s="10">
        <f>'Nhập Rs thep CV240,300,400 '!P53</f>
        <v>170</v>
      </c>
      <c r="I89" s="10" t="s">
        <v>209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9"/>
      <c r="B90" s="9"/>
      <c r="C90" s="9" t="s">
        <v>244</v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9"/>
      <c r="B91" s="9"/>
      <c r="C91" s="9"/>
      <c r="D91" s="10" t="s">
        <v>245</v>
      </c>
      <c r="E91" s="10"/>
      <c r="F91" s="10"/>
      <c r="G91" s="18" t="s">
        <v>246</v>
      </c>
      <c r="H91" s="10">
        <f>'Tính Bản'!Q11</f>
        <v>220</v>
      </c>
      <c r="I91" s="10" t="s">
        <v>53</v>
      </c>
      <c r="J91" s="18" t="s">
        <v>247</v>
      </c>
      <c r="K91" s="10">
        <f>'Tính Bản'!N11</f>
        <v>500</v>
      </c>
      <c r="L91" s="10" t="s">
        <v>17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9"/>
      <c r="B92" s="9"/>
      <c r="C92" s="9"/>
      <c r="D92" s="10"/>
      <c r="E92" s="47" t="s">
        <v>248</v>
      </c>
      <c r="F92" s="79">
        <v>30.0</v>
      </c>
      <c r="G92" s="10" t="s">
        <v>249</v>
      </c>
      <c r="H92" s="26" t="s">
        <v>250</v>
      </c>
      <c r="I92" s="10">
        <f>K91</f>
        <v>500</v>
      </c>
      <c r="J92" s="30" t="s">
        <v>24</v>
      </c>
      <c r="K92" s="10">
        <f>F92</f>
        <v>30</v>
      </c>
      <c r="L92" s="17" t="s">
        <v>40</v>
      </c>
      <c r="M92" s="10">
        <f>I92-K92</f>
        <v>470</v>
      </c>
      <c r="N92" s="10" t="s">
        <v>17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9"/>
      <c r="B93" s="9"/>
      <c r="C93" s="9" t="s">
        <v>251</v>
      </c>
      <c r="D93" s="9" t="s">
        <v>252</v>
      </c>
      <c r="E93" s="10"/>
      <c r="F93" s="9">
        <f>ABS(I62)</f>
        <v>61.25597356</v>
      </c>
      <c r="G93" s="9" t="s">
        <v>253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9"/>
      <c r="B94" s="9"/>
      <c r="C94" s="9"/>
      <c r="D94" s="10"/>
      <c r="E94" s="10"/>
      <c r="F94" s="10"/>
      <c r="G94" s="93">
        <f>F93</f>
        <v>61.25597356</v>
      </c>
      <c r="H94" s="92" t="s">
        <v>84</v>
      </c>
      <c r="I94" s="10">
        <v>1000000.0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9"/>
      <c r="B95" s="9"/>
      <c r="C95" s="9"/>
      <c r="D95" s="10"/>
      <c r="E95" s="10"/>
      <c r="F95" s="17" t="s">
        <v>254</v>
      </c>
      <c r="G95" s="10"/>
      <c r="H95" s="10"/>
      <c r="I95" s="10"/>
      <c r="J95" s="10"/>
      <c r="K95" s="93">
        <f>G94*I94/(F96*G96*H96*H96)</f>
        <v>0.1096054652</v>
      </c>
      <c r="L95" s="10" t="str">
        <f>IF(K95&lt;0.225,"&lt;",IF(K95=0.225,"=","&gt;"))</f>
        <v>&lt;</v>
      </c>
      <c r="M95" s="10"/>
      <c r="N95" s="10"/>
      <c r="O95" s="175" t="str">
        <f>IF(K95&gt;0.3,"{Tiết diện dầm phụ chưa hợp lý, nên tăng chiều cao của dầm phụ và tính lại cốt thép dọc}","")</f>
        <v/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9"/>
      <c r="B96" s="9"/>
      <c r="C96" s="9"/>
      <c r="D96" s="10"/>
      <c r="E96" s="10"/>
      <c r="F96" s="18">
        <f>I87</f>
        <v>11.5</v>
      </c>
      <c r="G96" s="18">
        <f>H91</f>
        <v>220</v>
      </c>
      <c r="H96" s="47">
        <f>M92</f>
        <v>470</v>
      </c>
      <c r="I96" s="177">
        <v>2.0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9"/>
      <c r="B97" s="9"/>
      <c r="C97" s="9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9"/>
      <c r="B98" s="9"/>
      <c r="C98" s="9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9"/>
      <c r="B99" s="9"/>
      <c r="C99" s="9"/>
      <c r="D99" s="10"/>
      <c r="E99" s="10"/>
      <c r="F99" s="10"/>
      <c r="G99" s="10"/>
      <c r="H99" s="179">
        <f>K95</f>
        <v>0.1096054652</v>
      </c>
      <c r="I99" s="17" t="s">
        <v>40</v>
      </c>
      <c r="J99" s="93">
        <f>0.5*(1+SQRT(1-2*H99))</f>
        <v>0.9418113482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9"/>
      <c r="B100" s="9"/>
      <c r="C100" s="9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9"/>
      <c r="B101" s="9"/>
      <c r="C101" s="9"/>
      <c r="D101" s="10"/>
      <c r="E101" s="10"/>
      <c r="F101" s="93">
        <f>F93</f>
        <v>61.25597356</v>
      </c>
      <c r="G101" s="92" t="s">
        <v>84</v>
      </c>
      <c r="H101" s="180">
        <f>1000000</f>
        <v>1000000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9"/>
      <c r="B102" s="9"/>
      <c r="C102" s="9"/>
      <c r="D102" s="10"/>
      <c r="E102" s="10"/>
      <c r="F102" s="17" t="s">
        <v>259</v>
      </c>
      <c r="G102" s="10"/>
      <c r="H102" s="10"/>
      <c r="I102" s="180">
        <f>F101*H101/(F103*G103*H103)</f>
        <v>532.2471218</v>
      </c>
      <c r="J102" s="105" t="s">
        <v>260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9"/>
      <c r="B103" s="9"/>
      <c r="C103" s="9"/>
      <c r="D103" s="10"/>
      <c r="E103" s="10"/>
      <c r="F103" s="10">
        <f>H88</f>
        <v>260</v>
      </c>
      <c r="G103" s="93">
        <f>J99</f>
        <v>0.9418113482</v>
      </c>
      <c r="H103" s="10">
        <f>M92</f>
        <v>470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9"/>
      <c r="B104" s="9"/>
      <c r="C104" s="9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9"/>
      <c r="B105" s="9"/>
      <c r="C105" s="9"/>
      <c r="D105" s="10"/>
      <c r="E105" s="10"/>
      <c r="F105" s="10"/>
      <c r="G105" s="10"/>
      <c r="H105" s="180">
        <f>I102</f>
        <v>532.2471218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9"/>
      <c r="B106" s="9"/>
      <c r="C106" s="9"/>
      <c r="D106" s="10"/>
      <c r="E106" s="10"/>
      <c r="F106" s="10"/>
      <c r="G106" s="17" t="s">
        <v>261</v>
      </c>
      <c r="H106" s="10"/>
      <c r="I106" s="10"/>
      <c r="J106" s="10"/>
      <c r="K106" s="17" t="s">
        <v>40</v>
      </c>
      <c r="L106" s="181">
        <f>H105/(G107*I107)</f>
        <v>0.005147457658</v>
      </c>
      <c r="M106" s="10"/>
      <c r="N106" s="182"/>
      <c r="O106" s="183" t="str">
        <f>IF(L106&lt;0.001,"{ tại tiết diện bất kỳ của dầm phải không nhỏ hơn 0.1 %}","")</f>
        <v/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9"/>
      <c r="B107" s="9"/>
      <c r="C107" s="9"/>
      <c r="D107" s="10"/>
      <c r="E107" s="10"/>
      <c r="F107" s="10"/>
      <c r="G107" s="18">
        <f>H91</f>
        <v>220</v>
      </c>
      <c r="H107" s="18" t="s">
        <v>84</v>
      </c>
      <c r="I107" s="10">
        <f>M92</f>
        <v>470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9"/>
      <c r="B108" s="9"/>
      <c r="C108" s="184" t="str">
        <f>IF(G3&gt;3,"* Tại gối 3, với M =","")</f>
        <v/>
      </c>
      <c r="D108" s="184"/>
      <c r="E108" s="185"/>
      <c r="F108" s="186" t="str">
        <f>IF(G3&gt;3,ABS(I69),"")</f>
        <v/>
      </c>
      <c r="G108" s="184" t="str">
        <f>IF(G3&gt;3,"kNm;","")</f>
        <v/>
      </c>
      <c r="H108" s="185"/>
      <c r="I108" s="185"/>
      <c r="J108" s="185"/>
      <c r="K108" s="185"/>
      <c r="L108" s="185"/>
      <c r="M108" s="185"/>
      <c r="N108" s="185"/>
      <c r="O108" s="185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9"/>
      <c r="B109" s="9"/>
      <c r="C109" s="184"/>
      <c r="D109" s="185"/>
      <c r="E109" s="187" t="str">
        <f>IF(G3&gt;3,"a =","")</f>
        <v/>
      </c>
      <c r="F109" s="188" t="str">
        <f>IF(G3&gt;3,(F108*1000000/(I87*H91*M92*M92)),"")</f>
        <v/>
      </c>
      <c r="G109" s="187" t="str">
        <f>IF(G3&gt;3,";       z =","")</f>
        <v/>
      </c>
      <c r="H109" s="189" t="str">
        <f>IF(G3&gt;3,(0.5*(1+SQRT(1-2*F109))),"")</f>
        <v/>
      </c>
      <c r="I109" s="190" t="str">
        <f>IF(G3&gt;3,";       As =","")</f>
        <v/>
      </c>
      <c r="J109" s="191" t="str">
        <f>IF(G3&gt;3,((F108*1000000)/(H88*H109*M92)),"")</f>
        <v/>
      </c>
      <c r="K109" s="185" t="str">
        <f>IF(G3&gt;3,"mm^2 ;","")</f>
        <v/>
      </c>
      <c r="L109" s="187" t="str">
        <f>IF(G3&gt;3,";       m% =","")</f>
        <v/>
      </c>
      <c r="M109" s="192" t="str">
        <f>IF(G3&gt;3,(J109/(H91*K91)),"")</f>
        <v/>
      </c>
      <c r="N109" s="185"/>
      <c r="O109" s="185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9"/>
      <c r="B110" s="9"/>
      <c r="C110" s="9" t="s">
        <v>267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9"/>
      <c r="B111" s="9"/>
      <c r="C111" s="9"/>
      <c r="D111" s="10" t="s">
        <v>268</v>
      </c>
      <c r="E111" s="10"/>
      <c r="F111" s="10"/>
      <c r="G111" s="10"/>
      <c r="H111" s="10"/>
      <c r="I111" s="10"/>
      <c r="J111" s="10"/>
      <c r="K111" s="194" t="s">
        <v>269</v>
      </c>
      <c r="L111" s="10">
        <f>'Tính Bản'!M5</f>
        <v>90</v>
      </c>
      <c r="M111" s="10" t="s">
        <v>53</v>
      </c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9"/>
      <c r="B112" s="9"/>
      <c r="C112" s="9"/>
      <c r="D112" s="10"/>
      <c r="E112" s="47" t="s">
        <v>248</v>
      </c>
      <c r="F112" s="79">
        <v>30.0</v>
      </c>
      <c r="G112" s="10" t="s">
        <v>249</v>
      </c>
      <c r="H112" s="26" t="s">
        <v>272</v>
      </c>
      <c r="I112" s="10">
        <f>I92</f>
        <v>500</v>
      </c>
      <c r="J112" s="30" t="s">
        <v>24</v>
      </c>
      <c r="K112" s="10">
        <f>F112</f>
        <v>30</v>
      </c>
      <c r="L112" s="17" t="s">
        <v>40</v>
      </c>
      <c r="M112" s="10">
        <f>I112-K112</f>
        <v>470</v>
      </c>
      <c r="N112" s="10" t="s">
        <v>17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9"/>
      <c r="B113" s="9"/>
      <c r="C113" s="9"/>
      <c r="D113" s="10" t="s">
        <v>275</v>
      </c>
      <c r="E113" s="10"/>
      <c r="F113" s="40" t="s">
        <v>276</v>
      </c>
      <c r="G113" s="10" t="s">
        <v>277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9"/>
      <c r="B114" s="9"/>
      <c r="C114" s="9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9"/>
      <c r="B115" s="9"/>
      <c r="C115" s="9"/>
      <c r="D115" s="30" t="s">
        <v>279</v>
      </c>
      <c r="E115" s="40" t="s">
        <v>280</v>
      </c>
      <c r="F115" s="195">
        <f>1/6</f>
        <v>0.1666666667</v>
      </c>
      <c r="G115" s="10">
        <f>M12</f>
        <v>5.1</v>
      </c>
      <c r="H115" s="17" t="s">
        <v>40</v>
      </c>
      <c r="I115" s="93">
        <f>G115/6</f>
        <v>0.85</v>
      </c>
      <c r="J115" s="10" t="s">
        <v>133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9"/>
      <c r="B116" s="9"/>
      <c r="C116" s="9"/>
      <c r="D116" s="30" t="s">
        <v>279</v>
      </c>
      <c r="E116" s="10" t="s">
        <v>283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9"/>
      <c r="B117" s="9"/>
      <c r="C117" s="9"/>
      <c r="D117" s="10"/>
      <c r="E117" s="40" t="s">
        <v>284</v>
      </c>
      <c r="F117" s="10">
        <v>0.5</v>
      </c>
      <c r="G117" s="93">
        <f>'Tính Bản'!L29</f>
        <v>2.38</v>
      </c>
      <c r="H117" s="17" t="s">
        <v>40</v>
      </c>
      <c r="I117" s="10">
        <f>G117/2</f>
        <v>1.19</v>
      </c>
      <c r="J117" s="10" t="s">
        <v>133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9"/>
      <c r="B118" s="9"/>
      <c r="C118" s="9"/>
      <c r="D118" s="10"/>
      <c r="E118" s="47" t="s">
        <v>286</v>
      </c>
      <c r="F118" s="198">
        <f>I115</f>
        <v>0.85</v>
      </c>
      <c r="G118" s="10" t="s">
        <v>287</v>
      </c>
      <c r="H118" s="10">
        <f>I117</f>
        <v>1.19</v>
      </c>
      <c r="I118" s="10" t="s">
        <v>288</v>
      </c>
      <c r="J118" s="93">
        <f>MIN(F118,H118)</f>
        <v>0.85</v>
      </c>
      <c r="K118" s="10" t="s">
        <v>42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9"/>
      <c r="B119" s="9"/>
      <c r="C119" s="9"/>
      <c r="D119" s="40" t="s">
        <v>290</v>
      </c>
      <c r="E119" s="10"/>
      <c r="F119" s="180">
        <f>J118*1000</f>
        <v>850</v>
      </c>
      <c r="G119" s="10" t="s">
        <v>17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9"/>
      <c r="B120" s="9"/>
      <c r="C120" s="9"/>
      <c r="D120" s="10" t="s">
        <v>291</v>
      </c>
      <c r="E120" s="10"/>
      <c r="F120" s="10"/>
      <c r="G120" s="10">
        <f>H91</f>
        <v>220</v>
      </c>
      <c r="H120" s="30" t="s">
        <v>89</v>
      </c>
      <c r="I120" s="180">
        <f>2*J118*1000</f>
        <v>1700</v>
      </c>
      <c r="J120" s="17" t="s">
        <v>40</v>
      </c>
      <c r="K120" s="180">
        <f>G120+I120</f>
        <v>1920</v>
      </c>
      <c r="L120" s="10" t="s">
        <v>17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9"/>
      <c r="B121" s="9"/>
      <c r="C121" s="9"/>
      <c r="D121" s="10" t="s">
        <v>293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9"/>
      <c r="B122" s="9"/>
      <c r="C122" s="9"/>
      <c r="D122" s="194" t="s">
        <v>294</v>
      </c>
      <c r="E122" s="10">
        <f>I87</f>
        <v>11.5</v>
      </c>
      <c r="F122" s="180">
        <f>K120</f>
        <v>1920</v>
      </c>
      <c r="G122" s="10">
        <f>L111</f>
        <v>90</v>
      </c>
      <c r="H122" s="10" t="s">
        <v>46</v>
      </c>
      <c r="I122" s="10">
        <f>M112</f>
        <v>470</v>
      </c>
      <c r="J122" s="10" t="s">
        <v>295</v>
      </c>
      <c r="K122" s="10">
        <f>L111</f>
        <v>90</v>
      </c>
      <c r="L122" s="10" t="s">
        <v>296</v>
      </c>
      <c r="M122" s="10">
        <f>E122*F122*G122*(I122-K122/2)</f>
        <v>844560000</v>
      </c>
      <c r="N122" s="10" t="s">
        <v>297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9"/>
      <c r="B123" s="9"/>
      <c r="C123" s="9"/>
      <c r="D123" s="10" t="s">
        <v>298</v>
      </c>
      <c r="E123" s="10"/>
      <c r="F123" s="93">
        <f>(H59)</f>
        <v>77.96214817</v>
      </c>
      <c r="G123" s="10" t="s">
        <v>123</v>
      </c>
      <c r="H123" s="10" t="str">
        <f>IF(F123&lt;M122/1000000,"&lt;",IF(F123=M122/1000000,"=","&gt;"))</f>
        <v>&lt;</v>
      </c>
      <c r="I123" s="194" t="s">
        <v>299</v>
      </c>
      <c r="J123" s="93">
        <f>M122/1000000</f>
        <v>844.56</v>
      </c>
      <c r="K123" s="10" t="s">
        <v>123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9"/>
      <c r="B124" s="9"/>
      <c r="C124" s="9"/>
      <c r="D124" s="17" t="s">
        <v>300</v>
      </c>
      <c r="E124" s="10"/>
      <c r="F124" s="10" t="str">
        <f>IF(H123="&lt;","đi qua cánh.","điquasườn.")</f>
        <v>đi qua cánh.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9"/>
      <c r="B125" s="9"/>
      <c r="C125" s="9"/>
      <c r="D125" s="10" t="s">
        <v>301</v>
      </c>
      <c r="E125" s="10"/>
      <c r="F125" s="10"/>
      <c r="G125" s="10"/>
      <c r="H125" s="180">
        <f>K120</f>
        <v>1920</v>
      </c>
      <c r="I125" s="10" t="s">
        <v>302</v>
      </c>
      <c r="J125" s="10">
        <f>K91</f>
        <v>500</v>
      </c>
      <c r="K125" s="10" t="s">
        <v>303</v>
      </c>
      <c r="L125" s="10">
        <f>F112</f>
        <v>30</v>
      </c>
      <c r="M125" s="40" t="s">
        <v>304</v>
      </c>
      <c r="N125" s="10">
        <f>M112</f>
        <v>470</v>
      </c>
      <c r="O125" s="10" t="s">
        <v>17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9"/>
      <c r="B126" s="9"/>
      <c r="C126" s="9" t="s">
        <v>305</v>
      </c>
      <c r="D126" s="10"/>
      <c r="E126" s="10"/>
      <c r="F126" s="201" t="s">
        <v>306</v>
      </c>
      <c r="G126" s="202">
        <f>F123</f>
        <v>77.96214817</v>
      </c>
      <c r="H126" s="9" t="s">
        <v>307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9"/>
      <c r="B127" s="9"/>
      <c r="C127" s="9"/>
      <c r="D127" s="203"/>
      <c r="E127" s="204"/>
      <c r="F127" s="204"/>
      <c r="G127" s="204"/>
      <c r="H127" s="205">
        <f>G126</f>
        <v>77.96214817</v>
      </c>
      <c r="I127" s="206" t="s">
        <v>84</v>
      </c>
      <c r="J127" s="207">
        <v>1000000.0</v>
      </c>
      <c r="K127" s="204"/>
      <c r="L127" s="204"/>
      <c r="M127" s="204"/>
      <c r="N127" s="204"/>
      <c r="O127" s="204"/>
      <c r="P127" s="204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9"/>
      <c r="B128" s="9"/>
      <c r="C128" s="9"/>
      <c r="D128" s="204"/>
      <c r="E128" s="204"/>
      <c r="F128" s="204"/>
      <c r="G128" s="207" t="s">
        <v>309</v>
      </c>
      <c r="L128" s="209">
        <f>H127*J127/(G129*H129*I129*I129)</f>
        <v>0.01598413034</v>
      </c>
      <c r="M128" s="207" t="s">
        <v>310</v>
      </c>
      <c r="N128" s="204"/>
      <c r="O128" s="204"/>
      <c r="P128" s="175" t="str">
        <f>IF(L128&gt;0.3,"{Tiết diện dầm phụ chưa hợp lý, nên tăng chiều cao của dầm phụ và tính lại cốt thép dọc}","")</f>
        <v/>
      </c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9"/>
      <c r="B129" s="9"/>
      <c r="C129" s="9"/>
      <c r="D129" s="204"/>
      <c r="E129" s="204"/>
      <c r="F129" s="204"/>
      <c r="G129" s="210">
        <f>I87</f>
        <v>11.5</v>
      </c>
      <c r="H129" s="211">
        <f>H125</f>
        <v>1920</v>
      </c>
      <c r="I129" s="212">
        <f>N125</f>
        <v>470</v>
      </c>
      <c r="J129" s="213">
        <v>2.0</v>
      </c>
      <c r="K129" s="204"/>
      <c r="L129" s="204"/>
      <c r="M129" s="204"/>
      <c r="N129" s="204"/>
      <c r="O129" s="204"/>
      <c r="P129" s="204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9"/>
      <c r="B130" s="9"/>
      <c r="C130" s="9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9"/>
      <c r="B131" s="9"/>
      <c r="C131" s="9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9"/>
      <c r="B132" s="9"/>
      <c r="C132" s="9"/>
      <c r="D132" s="204"/>
      <c r="E132" s="204"/>
      <c r="F132" s="204"/>
      <c r="G132" s="204"/>
      <c r="H132" s="204"/>
      <c r="I132" s="214">
        <f>L128</f>
        <v>0.01598413034</v>
      </c>
      <c r="J132" s="207" t="s">
        <v>40</v>
      </c>
      <c r="K132" s="209">
        <f>0.5*(1+SQRT(1-2*I132))</f>
        <v>0.9919430199</v>
      </c>
      <c r="L132" s="204"/>
      <c r="M132" s="204"/>
      <c r="N132" s="204"/>
      <c r="O132" s="204"/>
      <c r="P132" s="204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9"/>
      <c r="B133" s="9"/>
      <c r="C133" s="9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9"/>
      <c r="B134" s="9"/>
      <c r="C134" s="9"/>
      <c r="D134" s="204"/>
      <c r="E134" s="207"/>
      <c r="G134" s="209">
        <f>G126</f>
        <v>77.96214817</v>
      </c>
      <c r="H134" s="206" t="s">
        <v>84</v>
      </c>
      <c r="I134" s="207">
        <v>1000000.0</v>
      </c>
      <c r="J134" s="204"/>
      <c r="K134" s="204"/>
      <c r="L134" s="204"/>
      <c r="M134" s="204"/>
      <c r="N134" s="204"/>
      <c r="O134" s="204"/>
      <c r="P134" s="204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9"/>
      <c r="B135" s="9"/>
      <c r="C135" s="9"/>
      <c r="D135" s="204"/>
      <c r="G135" s="217" t="s">
        <v>313</v>
      </c>
      <c r="J135" s="218">
        <f>G134*I134/(G136*H136*I136)</f>
        <v>643.1701282</v>
      </c>
      <c r="K135" s="219" t="s">
        <v>314</v>
      </c>
      <c r="L135" s="204"/>
      <c r="M135" s="204"/>
      <c r="N135" s="204"/>
      <c r="O135" s="204"/>
      <c r="P135" s="204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9"/>
      <c r="B136" s="9"/>
      <c r="C136" s="9"/>
      <c r="D136" s="204"/>
      <c r="G136" s="210">
        <f>H88</f>
        <v>260</v>
      </c>
      <c r="H136" s="205">
        <f>K132</f>
        <v>0.9919430199</v>
      </c>
      <c r="I136" s="210">
        <f>N125</f>
        <v>470</v>
      </c>
      <c r="J136" s="204"/>
      <c r="K136" s="204"/>
      <c r="L136" s="204"/>
      <c r="M136" s="204"/>
      <c r="N136" s="204"/>
      <c r="O136" s="204"/>
      <c r="P136" s="204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9"/>
      <c r="B137" s="9"/>
      <c r="C137" s="9"/>
      <c r="D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9"/>
      <c r="B138" s="9"/>
      <c r="C138" s="9"/>
      <c r="D138" s="204"/>
      <c r="E138" s="207"/>
      <c r="H138" s="204"/>
      <c r="I138" s="211">
        <f>J135</f>
        <v>643.1701282</v>
      </c>
      <c r="J138" s="204"/>
      <c r="K138" s="204"/>
      <c r="L138" s="204"/>
      <c r="M138" s="204"/>
      <c r="N138" s="204"/>
      <c r="O138" s="204"/>
      <c r="P138" s="204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9"/>
      <c r="B139" s="9"/>
      <c r="C139" s="9"/>
      <c r="D139" s="204"/>
      <c r="H139" s="217" t="s">
        <v>315</v>
      </c>
      <c r="L139" s="207" t="s">
        <v>40</v>
      </c>
      <c r="M139" s="220">
        <f>I138/(H140*J140)</f>
        <v>0.006220214006</v>
      </c>
      <c r="N139" s="204"/>
      <c r="O139" s="204"/>
      <c r="P139" s="183" t="str">
        <f>IF(M139&lt;0.001,"{ tại tiết diện bất kỳ của dầm phải không nhỏ hơn 0.1 %}","")</f>
        <v/>
      </c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9"/>
      <c r="B140" s="9"/>
      <c r="C140" s="9"/>
      <c r="D140" s="204"/>
      <c r="H140" s="210">
        <f>H91</f>
        <v>220</v>
      </c>
      <c r="I140" s="210" t="s">
        <v>84</v>
      </c>
      <c r="J140" s="207">
        <f>N125</f>
        <v>470</v>
      </c>
      <c r="K140" s="204"/>
      <c r="L140" s="204"/>
      <c r="M140" s="204"/>
      <c r="N140" s="204"/>
      <c r="O140" s="204"/>
      <c r="P140" s="204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9"/>
      <c r="B141" s="9"/>
      <c r="C141" s="9"/>
      <c r="D141" s="10"/>
      <c r="E141" s="10"/>
      <c r="F141" s="10"/>
      <c r="G141" s="202"/>
      <c r="H141" s="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9"/>
      <c r="B142" s="9"/>
      <c r="C142" s="221" t="s">
        <v>321</v>
      </c>
      <c r="D142" s="221"/>
      <c r="E142" s="221"/>
      <c r="F142" s="185"/>
      <c r="G142" s="222">
        <f>H66</f>
        <v>51.70446619</v>
      </c>
      <c r="H142" s="221" t="s">
        <v>282</v>
      </c>
      <c r="I142" s="185"/>
      <c r="J142" s="223"/>
      <c r="K142" s="223"/>
      <c r="L142" s="223"/>
      <c r="M142" s="223"/>
      <c r="N142" s="223"/>
      <c r="O142" s="223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9"/>
      <c r="B143" s="9"/>
      <c r="C143" s="221"/>
      <c r="D143" s="223"/>
      <c r="E143" s="224" t="s">
        <v>322</v>
      </c>
      <c r="F143" s="225">
        <f>G142*1000000/(G129*H129*I129*I129)</f>
        <v>0.01060066899</v>
      </c>
      <c r="G143" s="224" t="s">
        <v>323</v>
      </c>
      <c r="H143" s="226">
        <f>(0.5*(1+SQRT(1-2*F143)))</f>
        <v>0.9946712701</v>
      </c>
      <c r="I143" s="227" t="s">
        <v>325</v>
      </c>
      <c r="J143" s="228">
        <f>(G142*1000000/(G136*H143*I136))</f>
        <v>425.3802075</v>
      </c>
      <c r="K143" s="223" t="s">
        <v>326</v>
      </c>
      <c r="L143" s="224" t="s">
        <v>327</v>
      </c>
      <c r="M143" s="229">
        <f>(J143/(H140*J140))</f>
        <v>0.004113928505</v>
      </c>
      <c r="N143" s="223"/>
      <c r="O143" s="223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9"/>
      <c r="B144" s="9" t="s">
        <v>329</v>
      </c>
      <c r="C144" s="9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9"/>
      <c r="B145" s="9"/>
      <c r="C145" s="9"/>
      <c r="D145" s="9" t="s">
        <v>330</v>
      </c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9"/>
      <c r="B146" s="9"/>
      <c r="C146" s="9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9"/>
      <c r="B147" s="9"/>
      <c r="C147" s="9"/>
      <c r="D147" s="113" t="s">
        <v>331</v>
      </c>
      <c r="E147" s="121" t="s">
        <v>332</v>
      </c>
      <c r="F147" s="232" t="s">
        <v>333</v>
      </c>
      <c r="G147" s="233" t="s">
        <v>334</v>
      </c>
      <c r="H147" s="233" t="s">
        <v>335</v>
      </c>
      <c r="I147" s="233" t="str">
        <f>IF(G3&lt;=3,"",IF(G3&gt;3,"Gối 3",""))</f>
        <v/>
      </c>
      <c r="J147" s="233" t="str">
        <f>IF(G3&gt;4,"Nhịp giữa","")</f>
        <v/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9"/>
      <c r="B148" s="9"/>
      <c r="C148" s="9"/>
      <c r="D148" s="234" t="s">
        <v>338</v>
      </c>
      <c r="E148" s="235" t="s">
        <v>340</v>
      </c>
      <c r="F148" s="236">
        <f>J135</f>
        <v>643.1701282</v>
      </c>
      <c r="G148" s="236">
        <f>I102</f>
        <v>532.2471218</v>
      </c>
      <c r="H148" s="236">
        <f>J143</f>
        <v>425.3802075</v>
      </c>
      <c r="I148" s="236" t="str">
        <f>IF(G3&gt;3,J109,"")</f>
        <v/>
      </c>
      <c r="J148" s="236" t="str">
        <f>IF(G3&gt;4,J143,"")</f>
        <v/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9"/>
      <c r="B149" s="9"/>
      <c r="C149" s="9"/>
      <c r="D149" s="237" t="s">
        <v>341</v>
      </c>
      <c r="E149" s="121"/>
      <c r="F149" s="238" t="str">
        <f t="shared" ref="F149:H149" si="3">IF(F148&lt;=84.8,"2f6 + 1f6",IF(AND(F148&gt;84.8,F148&lt;=106.8),"2f6 + 1f8",IF(AND(F148&gt;106.8,F148&lt;=150.8),"2f8 + 1f8",IF(AND(F148&gt;150.8,F148&lt;=179),"2f8 + 1f10",IF(AND(F148&gt;179,F148&lt;=235.6),"2f10 + 1f10",IF(AND(F148&gt;235.6,F148&lt;=270.2),"2f10 + 1f12",IF(AND(F148&gt;270.2,F148&lt;=339.2),"2f12 + 1f12",IF(AND(F148&gt;339.2,F148&lt;=380.1),"2f12 + 1f14",IF(AND(F148&gt;380.1,F148&lt;=461.8),"2f14 + 1f14",IF(AND(F148&gt;461.8,F148&lt;=509),"2f14 + 1f16",IF(AND(F148&gt;509,F148&lt;=603.2),"2f16 + 1f16",IF(AND(F148&gt;603.2,F148&lt;=656.6),"2f16 + 1f18",IF(AND(F148&gt;656.6,F148&lt;=763.4),"2f18 + 1f18",IF(AND(F148&gt;763.4,F148&lt;=823.1),"2f18 + 1f20",IF(AND(F148&gt;823.1,F148&lt;=942.5),"2f20 + 1f20",IF(AND(F148&gt;942.5,F148&lt;=1008.4),"2f20 + 1f22",IF(AND(F148&gt;1008.4,F148&lt;=1140.4),"2f22 +1f22")))))))))))))))))</f>
        <v>2f16 + 1f18</v>
      </c>
      <c r="G149" s="238" t="str">
        <f t="shared" si="3"/>
        <v>2f16 + 1f16</v>
      </c>
      <c r="H149" s="238" t="str">
        <f t="shared" si="3"/>
        <v>2f14 + 1f14</v>
      </c>
      <c r="I149" s="238" t="str">
        <f>IF(G3&lt;4,"",IF(I148&lt;=84.8,"2f6 + 1f6",IF(AND(I148&gt;84.8,I148&lt;=106.8),"2f6 + 1f8",IF(AND(I148&gt;106.8,I148&lt;=150.8),"2f8 + 1f8",IF(AND(I148&gt;150.8,I148&lt;=179),"2f8 + 1f10",IF(AND(I148&gt;179,I148&lt;=235.6),"2f10 + 1f10",IF(AND(I148&gt;235.6,I148&lt;=270.2),"2f10 + 1f12",IF(AND(I148&gt;270.2,I148&lt;=339.2),"2f12 + 1f12",IF(AND(I148&gt;339.2,I148&lt;=380.1),"2f12 + 1f14",IF(AND(I148&gt;380.1,I148&lt;=461.8),"2f14 + 1f14",IF(AND(I148&gt;461.8,I148&lt;=509),"2f14 + 1f16",IF(AND(I148&gt;509,I148&lt;=603.2),"2f16 + 1f16",IF(AND(I148&gt;603.2,I148&lt;=656.6),"2f16 + 1f18",IF(AND(I148&gt;656.6,I148&lt;=763.4),"2f18 + 1f18",IF(AND(I148&gt;763.4,I148&lt;=823.1),"2f18 + 1f20",IF(AND(I148&gt;823.1,I148&lt;=942.5),"2f20 + 1f20",IF(AND(I148&gt;942.5,I148&lt;=1008.4),"2f20 + 1f22",IF(AND(I148&gt;1008.4,I148&lt;=1140.4),"2f22 +1f22",""))))))))))))))))))</f>
        <v/>
      </c>
      <c r="J149" s="120" t="str">
        <f>IF(G3&lt;5,"",IF(J148&lt;=84.8,"2f6 + 1f6",IF(AND(J148&gt;84.8,J148&lt;=106.8),"2f6 + 1f8",IF(AND(J148&gt;106.8,J148&lt;=150.8),"2f8 + 1f8",IF(AND(J148&gt;150.8,J148&lt;=179),"2f8 + 1f10",IF(AND(J148&gt;179,J148&lt;=235.6),"2f10 + 1f10",IF(AND(J148&gt;235.6,J148&lt;=270.2),"2f10 + 1f12",IF(AND(J148&gt;270.2,J148&lt;=339.2),"2f12 + 1f12",IF(AND(J148&gt;339.2,J148&lt;=380.1),"2f12 + 1f14",IF(AND(J148&gt;380.1,J148&lt;=461.8),"2f14 + 1f14",IF(AND(J148&gt;461.8,J148&lt;=509),"2f14 + 1f16",IF(AND(J148&gt;509,J148&lt;=603.2),"2f16 + 1f16",IF(AND(J148&gt;603.2,J148&lt;=656.6),"2f16 + 1f18",IF(AND(J148&gt;656.6,J148&lt;=763.4),"2f18 + 1f18",IF(AND(J148&gt;763.4,J148&lt;=823.1),"2f18 + 1f20",IF(AND(J148&gt;823.1,J148&lt;=942.5),"2f20 + 1f20",IF(AND(J148&gt;942.5,J148&lt;=1008.4),"2f20 + 1f22",IF(AND(J148&gt;1008.4,J148&lt;=1140.4),"2f22 +1f22"))))))))))))))))))</f>
        <v/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9"/>
      <c r="B150" s="9"/>
      <c r="C150" s="9"/>
      <c r="D150" s="237" t="s">
        <v>343</v>
      </c>
      <c r="E150" s="235" t="s">
        <v>344</v>
      </c>
      <c r="F150" s="97">
        <f t="shared" ref="F150:H150" si="4">IF(F149="2f6 + 1f6",85,IF(F149="2f6 + 1f8",107,IF(F149="2f8 + 1f8",151,IF(F149="2f8 + 1f10",179,IF(F149="2f10 + 1f10",236,IF(F149="2f10 + 1f12",270,IF(F149="2f12 + 1f12",339,IF(F149="2f12 + 1f14",380,IF(F149="2f14 + 1f14",462,IF(F149="2f14 + 1f16",509,IF(F149="2f16 + 1f16",603,IF(F149="2f16 + 1f18",657,IF(F149="2f18 + 1f18",763,IF(F149="2f18 + 1f20",823,IF(F149="2f20 + 1f20",943,IF(F149="2f20 + 1f22",1008,IF(F149="2f22 + 1f22",1140)))))))))))))))))</f>
        <v>657</v>
      </c>
      <c r="G150" s="97">
        <f t="shared" si="4"/>
        <v>603</v>
      </c>
      <c r="H150" s="97">
        <f t="shared" si="4"/>
        <v>462</v>
      </c>
      <c r="I150" s="97" t="str">
        <f>IF(G3&lt;4,"",IF(I149="2f6 + 1f6",85,IF(I149="2f6 + 1f8",107,IF(I149="2f8 + 1f8",151,IF(I149="2f8 + 1f10",179,IF(I149="2f10 + 1f10",236,IF(I149="2f10 + 1f12",270,IF(I149="2f12 + 1f12",339,IF(I149="2f12 + 1f14",380,IF(I149="2f14 + 1f14",462,IF(I149="2f14 + 1f16",509,IF(I149="2f16 + 1f16",603,IF(I149="2f16 + 1f18",657,IF(I149="2f18 + 1f18",763,IF(I149="2f18 + 1f20",823,IF(I149="2f20 + 1f20",943,IF(I149="2f20 + 1f22",1008,IF(I149="2f22 + 1f22",1140))))))))))))))))))</f>
        <v/>
      </c>
      <c r="J150" s="233" t="str">
        <f>IF(G3&lt;5,"",IF(J149="2f6 + 1f6",85,IF(J149="2f6 + 1f8",107,IF(J149="2f8 + 1f8",151,IF(J149="2f8 + 1f10",179,IF(J149="2f10 + 1f10",236,IF(J149="2f10 + 1f12",270,IF(J149="2f12 + 1f12",339,IF(J149="2f12 + 1f14",380,IF(J149="2f14 + 1f14",462,IF(J149="2f14 + 1f16",509,IF(J149="2f16 + 1f16",603,IF(J149="2f16 + 1f18",657,IF(J149="2f18 + 1f18",763,IF(J149="2f18 + 1f20",823,IF(J149="2f20 + 1f20",943,IF(J149="2f20 + 1f22",1008,IF(J149="2f22 + 1f22",1140))))))))))))))))))</f>
        <v/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9"/>
      <c r="B151" s="9"/>
      <c r="C151" s="9"/>
      <c r="D151" s="10"/>
      <c r="E151" s="10"/>
      <c r="F151" s="239">
        <f t="shared" ref="F151:H151" si="5">VALUE(MID(F149,10,2))</f>
        <v>18</v>
      </c>
      <c r="G151" s="239">
        <f t="shared" si="5"/>
        <v>16</v>
      </c>
      <c r="H151" s="239">
        <f t="shared" si="5"/>
        <v>14</v>
      </c>
      <c r="I151" s="239" t="str">
        <f>IF(G3&lt;4,"",VALUE(MID(I149,10,2)))</f>
        <v/>
      </c>
      <c r="J151" s="239" t="str">
        <f>IF(G3&lt;5,"",VALUE(MID(J149,10,2)))</f>
        <v/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9"/>
      <c r="B152" s="9"/>
      <c r="C152" s="9"/>
      <c r="D152" s="4"/>
      <c r="E152" s="4"/>
      <c r="F152" s="240"/>
      <c r="G152" s="240"/>
      <c r="H152" s="240"/>
      <c r="I152" s="240"/>
      <c r="J152" s="240"/>
      <c r="K152" s="4"/>
      <c r="L152" s="4"/>
      <c r="M152" s="4"/>
      <c r="N152" s="4"/>
      <c r="O152" s="4"/>
      <c r="P152" s="4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9"/>
      <c r="B153" s="9"/>
      <c r="C153" s="9"/>
      <c r="D153" s="4"/>
      <c r="E153" s="4"/>
      <c r="F153" s="240"/>
      <c r="G153" s="240"/>
      <c r="H153" s="240"/>
      <c r="I153" s="240"/>
      <c r="J153" s="240"/>
      <c r="K153" s="4"/>
      <c r="L153" s="4"/>
      <c r="M153" s="4"/>
      <c r="N153" s="4"/>
      <c r="O153" s="4"/>
      <c r="P153" s="4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9"/>
      <c r="B154" s="9"/>
      <c r="C154" s="9"/>
      <c r="D154" s="4"/>
      <c r="E154" s="4"/>
      <c r="F154" s="240"/>
      <c r="G154" s="240"/>
      <c r="H154" s="240"/>
      <c r="I154" s="240"/>
      <c r="J154" s="240"/>
      <c r="K154" s="4"/>
      <c r="L154" s="4"/>
      <c r="M154" s="4"/>
      <c r="N154" s="4"/>
      <c r="O154" s="4"/>
      <c r="P154" s="4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9"/>
      <c r="B155" s="9"/>
      <c r="C155" s="9"/>
      <c r="D155" s="4"/>
      <c r="E155" s="11" t="s">
        <v>4</v>
      </c>
      <c r="F155" s="12"/>
      <c r="G155" s="12"/>
      <c r="H155" s="12"/>
      <c r="I155" s="12"/>
      <c r="J155" s="12"/>
      <c r="K155" s="13"/>
      <c r="L155" s="4"/>
      <c r="M155" s="4"/>
      <c r="N155" s="4"/>
      <c r="O155" s="4"/>
      <c r="P155" s="4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9"/>
      <c r="B156" s="9"/>
      <c r="C156" s="9"/>
      <c r="D156" s="4"/>
      <c r="E156" s="14"/>
      <c r="F156" s="15"/>
      <c r="G156" s="15"/>
      <c r="H156" s="15"/>
      <c r="I156" s="15"/>
      <c r="J156" s="15"/>
      <c r="K156" s="16"/>
      <c r="L156" s="4"/>
      <c r="M156" s="4"/>
      <c r="N156" s="4"/>
      <c r="O156" s="4"/>
      <c r="P156" s="4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9"/>
      <c r="B157" s="9"/>
      <c r="C157" s="9"/>
      <c r="D157" s="4"/>
      <c r="E157" s="73" t="s">
        <v>12</v>
      </c>
      <c r="F157" s="20"/>
      <c r="G157" s="20"/>
      <c r="H157" s="20"/>
      <c r="I157" s="20"/>
      <c r="J157" s="20"/>
      <c r="K157" s="21"/>
      <c r="L157" s="4"/>
      <c r="M157" s="4"/>
      <c r="N157" s="4"/>
      <c r="O157" s="4"/>
      <c r="P157" s="4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9"/>
      <c r="B158" s="9"/>
      <c r="C158" s="9"/>
      <c r="D158" s="4"/>
      <c r="E158" s="74"/>
      <c r="F158" s="75"/>
      <c r="G158" s="75"/>
      <c r="H158" s="75"/>
      <c r="I158" s="75"/>
      <c r="J158" s="75"/>
      <c r="K158" s="76"/>
      <c r="L158" s="4"/>
      <c r="M158" s="4"/>
      <c r="N158" s="4"/>
      <c r="O158" s="4"/>
      <c r="P158" s="4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9"/>
      <c r="B159" s="9"/>
      <c r="C159" s="9"/>
      <c r="D159" s="4"/>
      <c r="E159" s="4"/>
      <c r="F159" s="240"/>
      <c r="G159" s="240"/>
      <c r="H159" s="240"/>
      <c r="I159" s="240"/>
      <c r="J159" s="240"/>
      <c r="K159" s="4"/>
      <c r="L159" s="4"/>
      <c r="M159" s="4"/>
      <c r="N159" s="4"/>
      <c r="O159" s="4"/>
      <c r="P159" s="4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9"/>
      <c r="B160" s="9"/>
      <c r="C160" s="9"/>
      <c r="D160" s="4"/>
      <c r="E160" s="4"/>
      <c r="F160" s="240"/>
      <c r="G160" s="240"/>
      <c r="H160" s="37"/>
      <c r="I160" s="240"/>
      <c r="J160" s="240"/>
      <c r="K160" s="4"/>
      <c r="L160" s="4"/>
      <c r="M160" s="4"/>
      <c r="N160" s="4"/>
      <c r="O160" s="4"/>
      <c r="P160" s="4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9"/>
      <c r="B161" s="9"/>
      <c r="C161" s="9"/>
      <c r="D161" s="4"/>
      <c r="E161" s="4"/>
      <c r="F161" s="240"/>
      <c r="G161" s="240"/>
      <c r="H161" s="240"/>
      <c r="I161" s="240"/>
      <c r="J161" s="240"/>
      <c r="K161" s="4"/>
      <c r="L161" s="4"/>
      <c r="M161" s="4"/>
      <c r="N161" s="4"/>
      <c r="O161" s="4"/>
      <c r="P161" s="4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9"/>
      <c r="B162" s="9"/>
      <c r="C162" s="9"/>
      <c r="D162" s="10" t="s">
        <v>348</v>
      </c>
      <c r="E162" s="10"/>
      <c r="F162" s="10"/>
      <c r="G162" s="18" t="s">
        <v>349</v>
      </c>
      <c r="H162" s="10"/>
      <c r="I162" s="79">
        <v>25.0</v>
      </c>
      <c r="J162" s="10" t="s">
        <v>350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9"/>
      <c r="B163" s="9"/>
      <c r="C163" s="9"/>
      <c r="D163" s="40" t="s">
        <v>351</v>
      </c>
      <c r="E163" s="10"/>
      <c r="F163" s="18">
        <f>K91</f>
        <v>500</v>
      </c>
      <c r="G163" s="30" t="s">
        <v>24</v>
      </c>
      <c r="H163" s="18">
        <f>I162</f>
        <v>25</v>
      </c>
      <c r="I163" s="242" t="s">
        <v>352</v>
      </c>
      <c r="J163" s="10">
        <f>MAX(F151:J151)</f>
        <v>18</v>
      </c>
      <c r="K163" s="17" t="s">
        <v>40</v>
      </c>
      <c r="L163" s="10">
        <f>F163-H163-J163/2</f>
        <v>466</v>
      </c>
      <c r="M163" s="10" t="s">
        <v>317</v>
      </c>
      <c r="N163" s="10" t="str">
        <f>IF(L163&gt;M92,"lớn hơn trị số đã dùng để tính toán là:","chọn lại c")</f>
        <v>chọn lại c</v>
      </c>
      <c r="O163" s="10"/>
      <c r="P163" s="10"/>
      <c r="Q163" s="10"/>
      <c r="R163" s="10" t="str">
        <f>IF(L163&gt;M92,M92,"")</f>
        <v/>
      </c>
      <c r="S163" s="10" t="str">
        <f>IF(R163="","","mm")</f>
        <v/>
      </c>
      <c r="T163" s="10"/>
      <c r="U163" s="10"/>
      <c r="V163" s="10"/>
      <c r="W163" s="10"/>
      <c r="X163" s="10"/>
      <c r="Y163" s="10"/>
      <c r="Z163" s="10"/>
    </row>
    <row r="164">
      <c r="A164" s="9"/>
      <c r="B164" s="9" t="s">
        <v>353</v>
      </c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9"/>
      <c r="B165" s="9"/>
      <c r="C165" s="10" t="s">
        <v>355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9"/>
      <c r="B166" s="9"/>
      <c r="C166" s="9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9"/>
      <c r="B167" s="9"/>
      <c r="C167" s="9"/>
      <c r="D167" s="29"/>
      <c r="E167" s="10"/>
      <c r="F167" s="198">
        <f>J83</f>
        <v>99.0435726</v>
      </c>
      <c r="G167" s="10" t="s">
        <v>356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9"/>
      <c r="B168" s="9"/>
      <c r="C168" s="9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9"/>
      <c r="B169" s="9"/>
      <c r="C169" s="9"/>
      <c r="D169" s="173" t="s">
        <v>357</v>
      </c>
      <c r="E169" s="10"/>
      <c r="F169" s="10"/>
      <c r="G169" s="18">
        <f>'Nhập Rs thep CV240,300,400 '!E52</f>
        <v>11.5</v>
      </c>
      <c r="H169" s="18" t="s">
        <v>359</v>
      </c>
      <c r="I169" s="10">
        <f>'Nhập Rs thep CV240,300,400 '!H52</f>
        <v>0.9</v>
      </c>
      <c r="J169" s="18" t="s">
        <v>360</v>
      </c>
      <c r="K169" s="10">
        <f>'Nhập Rs thep CV240,300,400 '!P53</f>
        <v>170</v>
      </c>
      <c r="L169" s="10" t="s">
        <v>361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9"/>
      <c r="B170" s="9"/>
      <c r="C170" s="9"/>
      <c r="D170" s="10" t="s">
        <v>362</v>
      </c>
      <c r="E170" s="10"/>
      <c r="F170" s="18">
        <f>'Tính Bản'!Q11</f>
        <v>220</v>
      </c>
      <c r="G170" s="10" t="s">
        <v>363</v>
      </c>
      <c r="H170" s="18">
        <f>'Tính Bản'!N11</f>
        <v>500</v>
      </c>
      <c r="I170" s="40" t="s">
        <v>364</v>
      </c>
      <c r="J170" s="18">
        <f>L163</f>
        <v>466</v>
      </c>
      <c r="K170" s="10" t="s">
        <v>17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9"/>
      <c r="B171" s="9"/>
      <c r="C171" s="9"/>
      <c r="D171" s="10" t="s">
        <v>366</v>
      </c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9"/>
      <c r="B172" s="9"/>
      <c r="C172" s="9"/>
      <c r="D172" s="245" t="s">
        <v>367</v>
      </c>
      <c r="E172" s="10"/>
      <c r="F172" s="18">
        <f>G169</f>
        <v>11.5</v>
      </c>
      <c r="G172" s="18">
        <f>F170</f>
        <v>220</v>
      </c>
      <c r="H172" s="18">
        <f>J170</f>
        <v>466</v>
      </c>
      <c r="I172" s="30" t="s">
        <v>40</v>
      </c>
      <c r="J172" s="18">
        <f>0.3*F172*G172*H172</f>
        <v>353694</v>
      </c>
      <c r="K172" s="10" t="s">
        <v>368</v>
      </c>
      <c r="L172" s="10">
        <f>J172/1000</f>
        <v>353.694</v>
      </c>
      <c r="M172" s="10" t="s">
        <v>264</v>
      </c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9"/>
      <c r="B173" s="9"/>
      <c r="C173" s="9"/>
      <c r="D173" s="246" t="s">
        <v>369</v>
      </c>
      <c r="E173" s="10"/>
      <c r="F173" s="10"/>
      <c r="G173" s="18">
        <f>I169</f>
        <v>0.9</v>
      </c>
      <c r="H173" s="18">
        <f>F170</f>
        <v>220</v>
      </c>
      <c r="I173" s="18">
        <f>J170</f>
        <v>466</v>
      </c>
      <c r="J173" s="30" t="s">
        <v>40</v>
      </c>
      <c r="K173" s="18">
        <f>G173*H173*I173/2</f>
        <v>46134</v>
      </c>
      <c r="L173" s="18" t="s">
        <v>372</v>
      </c>
      <c r="M173" s="247">
        <f>K173/1000</f>
        <v>46.134</v>
      </c>
      <c r="N173" s="10" t="s">
        <v>373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9"/>
      <c r="B174" s="9"/>
      <c r="C174" s="9"/>
      <c r="D174" s="10" t="s">
        <v>374</v>
      </c>
      <c r="E174" s="10"/>
      <c r="F174" s="10"/>
      <c r="G174" s="10"/>
      <c r="H174" s="183" t="str">
        <f>IF(AND(M173&lt;=F167,F167&lt;=L172),"được thỏa mãn, cần phải tính toán cốt đai cho dầm",IF(F167&lt;M173,"dầm không cần tính toán cốt đai mà được bố trí cốt đai theo yêu cầu cấu tạo"))</f>
        <v>được thỏa mãn, cần phải tính toán cốt đai cho dầm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9"/>
      <c r="B175" s="9"/>
      <c r="C175" s="9" t="s">
        <v>375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9"/>
      <c r="B176" s="9"/>
      <c r="C176" s="9"/>
      <c r="D176" s="10" t="s">
        <v>378</v>
      </c>
      <c r="E176" s="93">
        <f>F167</f>
        <v>99.0435726</v>
      </c>
      <c r="F176" s="18" t="s">
        <v>379</v>
      </c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9"/>
      <c r="B177" s="9"/>
      <c r="C177" s="9"/>
      <c r="D177" s="18"/>
      <c r="E177" s="10" t="s">
        <v>380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9"/>
      <c r="B178" s="9"/>
      <c r="C178" s="9"/>
      <c r="D178" s="10"/>
      <c r="E178" s="40" t="s">
        <v>381</v>
      </c>
      <c r="F178" s="10"/>
      <c r="G178" s="93">
        <f>J36</f>
        <v>13.2159</v>
      </c>
      <c r="H178" s="17" t="s">
        <v>89</v>
      </c>
      <c r="I178" s="93">
        <f>L36</f>
        <v>18.59</v>
      </c>
      <c r="J178" s="17" t="s">
        <v>40</v>
      </c>
      <c r="K178" s="93">
        <f>G178+I178</f>
        <v>31.8059</v>
      </c>
      <c r="L178" s="10" t="s">
        <v>90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9"/>
      <c r="B179" s="9"/>
      <c r="C179" s="9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9"/>
      <c r="B180" s="9"/>
      <c r="C180" s="9"/>
      <c r="D180" s="10"/>
      <c r="E180" s="2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9"/>
      <c r="B181" s="9"/>
      <c r="C181" s="9"/>
      <c r="D181" s="10"/>
      <c r="E181" s="10"/>
      <c r="F181" s="10"/>
      <c r="G181" s="10"/>
      <c r="H181" s="93">
        <f>(((E176*1000)^2)/(4.5*I169*F170*J170*J170))-((K178-0.5*I178)/0.75)</f>
        <v>20.68489441</v>
      </c>
      <c r="I181" s="10" t="s">
        <v>383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9"/>
      <c r="B182" s="9"/>
      <c r="C182" s="9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9"/>
      <c r="B183" s="9"/>
      <c r="C183" s="9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9"/>
      <c r="B184" s="9"/>
      <c r="C184" s="9"/>
      <c r="D184" s="10"/>
      <c r="E184" s="10"/>
      <c r="F184" s="251" t="s">
        <v>385</v>
      </c>
      <c r="G184" s="18">
        <f>I169</f>
        <v>0.9</v>
      </c>
      <c r="H184" s="18">
        <f>F170</f>
        <v>220</v>
      </c>
      <c r="I184" s="30" t="s">
        <v>40</v>
      </c>
      <c r="J184" s="252">
        <f>G184*H184/4</f>
        <v>49.5</v>
      </c>
      <c r="K184" s="10" t="s">
        <v>386</v>
      </c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9"/>
      <c r="B185" s="9"/>
      <c r="C185" s="9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9"/>
      <c r="B186" s="9"/>
      <c r="C186" s="9"/>
      <c r="D186" s="10"/>
      <c r="E186" s="245" t="s">
        <v>387</v>
      </c>
      <c r="F186" s="253">
        <f>J184</f>
        <v>49.5</v>
      </c>
      <c r="G186" s="10" t="s">
        <v>383</v>
      </c>
      <c r="H186" s="254" t="str">
        <f>IF(F186&lt;J186,"&lt;","&gt;")</f>
        <v>&gt;</v>
      </c>
      <c r="I186" s="255" t="s">
        <v>389</v>
      </c>
      <c r="J186" s="253">
        <f>H181</f>
        <v>20.68489441</v>
      </c>
      <c r="K186" s="10" t="s">
        <v>383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9"/>
      <c r="B187" s="9"/>
      <c r="C187" s="256" t="s">
        <v>251</v>
      </c>
      <c r="D187" s="9" t="s">
        <v>390</v>
      </c>
      <c r="E187" s="10"/>
      <c r="F187" s="10"/>
      <c r="G187" s="257">
        <f>IF(H186="&gt;",F186,J186)</f>
        <v>49.5</v>
      </c>
      <c r="H187" s="9" t="s">
        <v>386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9"/>
      <c r="B188" s="9"/>
      <c r="C188" s="9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9"/>
      <c r="B189" s="9"/>
      <c r="C189" s="9"/>
      <c r="D189" s="10"/>
      <c r="E189" s="10"/>
      <c r="F189" s="10"/>
      <c r="G189" s="258">
        <f>SQRT((1.5*I169*F170*J170*J170)/(0.75*G187+K178-I178/2))</f>
        <v>1039.944716</v>
      </c>
      <c r="H189" s="10" t="s">
        <v>17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9"/>
      <c r="B190" s="9"/>
      <c r="C190" s="9"/>
      <c r="D190" s="10"/>
      <c r="E190" s="29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9"/>
      <c r="B191" s="9"/>
      <c r="C191" s="9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9"/>
      <c r="B192" s="9"/>
      <c r="C192" s="9"/>
      <c r="D192" s="40" t="s">
        <v>391</v>
      </c>
      <c r="E192" s="259">
        <f>G189</f>
        <v>1039.944716</v>
      </c>
      <c r="F192" s="10" t="s">
        <v>21</v>
      </c>
      <c r="G192" s="260" t="str">
        <f>IF(E192&gt;I192,"&gt;","&lt;")</f>
        <v>&gt;</v>
      </c>
      <c r="H192" s="40" t="s">
        <v>392</v>
      </c>
      <c r="I192" s="261">
        <f>2*L163</f>
        <v>932</v>
      </c>
      <c r="J192" s="10" t="s">
        <v>21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9"/>
      <c r="B193" s="9"/>
      <c r="C193" s="9"/>
      <c r="D193" s="10" t="str">
        <f>IF(G192="&gt;","Chỉ lấy","")</f>
        <v>Chỉ lấy</v>
      </c>
      <c r="E193" s="40" t="s">
        <v>393</v>
      </c>
      <c r="F193" s="261">
        <f>IF(E192&gt;I192,I192,E192)</f>
        <v>932</v>
      </c>
      <c r="G193" s="10" t="s">
        <v>17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9"/>
      <c r="B194" s="9"/>
      <c r="C194" s="256" t="s">
        <v>251</v>
      </c>
      <c r="D194" s="9" t="s">
        <v>394</v>
      </c>
      <c r="E194" s="10"/>
      <c r="F194" s="9">
        <f>F193</f>
        <v>932</v>
      </c>
      <c r="G194" s="9" t="s">
        <v>395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9"/>
      <c r="B195" s="9"/>
      <c r="C195" s="9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9"/>
      <c r="B196" s="9"/>
      <c r="C196" s="9"/>
      <c r="D196" s="10" t="s">
        <v>378</v>
      </c>
      <c r="E196" s="93">
        <f>E176</f>
        <v>99.0435726</v>
      </c>
      <c r="F196" s="18" t="s">
        <v>396</v>
      </c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9"/>
      <c r="B197" s="9"/>
      <c r="C197" s="9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9"/>
      <c r="B198" s="9"/>
      <c r="C198" s="9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9"/>
      <c r="B199" s="9"/>
      <c r="C199" s="9"/>
      <c r="D199" s="47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9"/>
      <c r="B200" s="9"/>
      <c r="C200" s="9"/>
      <c r="D200" s="47" t="s">
        <v>397</v>
      </c>
      <c r="E200" s="10"/>
      <c r="F200" s="29"/>
      <c r="G200" s="10"/>
      <c r="H200" s="10"/>
      <c r="I200" s="10"/>
      <c r="J200" s="253">
        <f>(E196*1000-((1.5*I169*F170*(J170^2))/(2*J170))-((K178-0.5*I178)*2*J170))/(1.5*J170)</f>
        <v>12.67870358</v>
      </c>
      <c r="K200" s="10" t="s">
        <v>386</v>
      </c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9"/>
      <c r="B201" s="9"/>
      <c r="C201" s="9"/>
      <c r="D201" s="47"/>
      <c r="E201" s="10"/>
      <c r="F201" s="40"/>
      <c r="G201" s="10"/>
      <c r="H201" s="10"/>
      <c r="I201" s="10"/>
      <c r="J201" s="25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9"/>
      <c r="B202" s="9"/>
      <c r="C202" s="9"/>
      <c r="D202" s="18"/>
      <c r="E202" s="47" t="s">
        <v>398</v>
      </c>
      <c r="F202" s="262">
        <f>IF(J200&lt;F186,G187,J200)</f>
        <v>49.5</v>
      </c>
      <c r="G202" s="10" t="s">
        <v>386</v>
      </c>
      <c r="H202" s="10"/>
      <c r="I202" s="10"/>
      <c r="J202" s="25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9"/>
      <c r="B203" s="9"/>
      <c r="C203" s="9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9"/>
      <c r="B204" s="9"/>
      <c r="C204" s="256" t="s">
        <v>251</v>
      </c>
      <c r="D204" s="9" t="s">
        <v>399</v>
      </c>
      <c r="E204" s="10"/>
      <c r="F204" s="263">
        <f>IF('Tính Bản'!Q11&lt;500,2,3)</f>
        <v>2</v>
      </c>
      <c r="G204" s="9" t="s">
        <v>400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9"/>
      <c r="B205" s="9"/>
      <c r="C205" s="9"/>
      <c r="D205" s="10" t="s">
        <v>401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9"/>
      <c r="B206" s="9"/>
      <c r="C206" s="9"/>
      <c r="D206" s="10"/>
      <c r="E206" s="10"/>
      <c r="F206" s="10"/>
      <c r="G206" s="10"/>
      <c r="H206" s="10"/>
      <c r="I206" s="264">
        <v>2.0</v>
      </c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9"/>
      <c r="B207" s="9"/>
      <c r="C207" s="9"/>
      <c r="D207" s="10"/>
      <c r="E207" s="99" t="s">
        <v>46</v>
      </c>
      <c r="F207" s="18">
        <f>F204</f>
        <v>2</v>
      </c>
      <c r="G207" s="252">
        <f>PI()</f>
        <v>3.141592654</v>
      </c>
      <c r="H207" s="266">
        <f>6</f>
        <v>6</v>
      </c>
      <c r="I207" s="18" t="s">
        <v>324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9"/>
      <c r="B208" s="9"/>
      <c r="C208" s="9"/>
      <c r="D208" s="10"/>
      <c r="E208" s="10"/>
      <c r="F208" s="17" t="s">
        <v>254</v>
      </c>
      <c r="G208" s="10"/>
      <c r="H208" s="10"/>
      <c r="I208" s="10"/>
      <c r="J208" s="91">
        <f>F207*G207*H207*H207/G209</f>
        <v>56.54866776</v>
      </c>
      <c r="K208" s="219" t="s">
        <v>402</v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9"/>
      <c r="B209" s="9"/>
      <c r="C209" s="9"/>
      <c r="D209" s="10"/>
      <c r="E209" s="10"/>
      <c r="F209" s="10"/>
      <c r="G209" s="10">
        <v>4.0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9"/>
      <c r="B210" s="9"/>
      <c r="C210" s="9"/>
      <c r="D210" s="10" t="s">
        <v>403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9"/>
      <c r="B211" s="9"/>
      <c r="C211" s="9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9"/>
      <c r="B212" s="9"/>
      <c r="C212" s="9"/>
      <c r="D212" s="10"/>
      <c r="E212" s="29"/>
      <c r="F212" s="18">
        <f>K169</f>
        <v>170</v>
      </c>
      <c r="G212" s="92" t="s">
        <v>84</v>
      </c>
      <c r="H212" s="252">
        <f>J208</f>
        <v>56.54866776</v>
      </c>
      <c r="I212" s="18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9"/>
      <c r="B213" s="9"/>
      <c r="C213" s="9"/>
      <c r="D213" s="10"/>
      <c r="E213" s="10"/>
      <c r="F213" s="17" t="s">
        <v>404</v>
      </c>
      <c r="G213" s="18"/>
      <c r="H213" s="18"/>
      <c r="I213" s="258">
        <f>F212*H212/G214</f>
        <v>194.2075459</v>
      </c>
      <c r="J213" s="10" t="s">
        <v>53</v>
      </c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9"/>
      <c r="B214" s="9"/>
      <c r="C214" s="9"/>
      <c r="D214" s="10"/>
      <c r="E214" s="10"/>
      <c r="F214" s="18"/>
      <c r="G214" s="252">
        <f>F202</f>
        <v>49.5</v>
      </c>
      <c r="H214" s="18"/>
      <c r="I214" s="18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9"/>
      <c r="B215" s="9"/>
      <c r="C215" s="9"/>
      <c r="D215" s="10" t="s">
        <v>405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9"/>
      <c r="B216" s="9"/>
      <c r="C216" s="9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9"/>
      <c r="B217" s="9"/>
      <c r="C217" s="9"/>
      <c r="D217" s="10"/>
      <c r="E217" s="10"/>
      <c r="F217" s="10"/>
      <c r="G217" s="251" t="s">
        <v>406</v>
      </c>
      <c r="H217" s="10">
        <f>J170</f>
        <v>466</v>
      </c>
      <c r="I217" s="10" t="s">
        <v>407</v>
      </c>
      <c r="J217" s="10">
        <f>MIN(0.5*H217,300)</f>
        <v>233</v>
      </c>
      <c r="K217" s="10" t="s">
        <v>53</v>
      </c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9"/>
      <c r="B218" s="9"/>
      <c r="C218" s="9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9"/>
      <c r="B219" s="9"/>
      <c r="C219" s="9"/>
      <c r="D219" s="10" t="s">
        <v>408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9"/>
      <c r="B220" s="9"/>
      <c r="C220" s="9"/>
      <c r="D220" s="10"/>
      <c r="E220" s="10"/>
      <c r="F220" s="10"/>
      <c r="G220" s="10"/>
      <c r="H220" s="267">
        <v>2.0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9"/>
      <c r="B221" s="9"/>
      <c r="C221" s="9"/>
      <c r="D221" s="10"/>
      <c r="E221" s="29"/>
      <c r="F221" s="18">
        <f>I169</f>
        <v>0.9</v>
      </c>
      <c r="G221" s="18">
        <f>F170</f>
        <v>220</v>
      </c>
      <c r="H221" s="47">
        <f>J170</f>
        <v>466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9"/>
      <c r="B222" s="9"/>
      <c r="C222" s="9"/>
      <c r="D222" s="10"/>
      <c r="E222" s="10"/>
      <c r="F222" s="17" t="s">
        <v>409</v>
      </c>
      <c r="G222" s="10"/>
      <c r="H222" s="10"/>
      <c r="I222" s="258">
        <f>F221*G221*H221*H221/G223</f>
        <v>434.1209315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9"/>
      <c r="B223" s="9"/>
      <c r="C223" s="9"/>
      <c r="D223" s="10"/>
      <c r="E223" s="10"/>
      <c r="F223" s="10"/>
      <c r="G223" s="180">
        <f>E196*1000</f>
        <v>99043.5726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9"/>
      <c r="B224" s="9"/>
      <c r="C224" s="9"/>
      <c r="D224" s="10" t="s">
        <v>411</v>
      </c>
      <c r="E224" s="10"/>
      <c r="F224" s="10"/>
      <c r="G224" s="10"/>
      <c r="H224" s="10"/>
      <c r="I224" s="18" t="str">
        <f>IF(J224=I213,"Stt  =",IF(J224=J217,"Sct  =","Smax  ="))</f>
        <v>Stt  =</v>
      </c>
      <c r="J224" s="180">
        <f>MIN(I213,J217,I222)</f>
        <v>194.2075459</v>
      </c>
      <c r="K224" s="10" t="s">
        <v>21</v>
      </c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9"/>
      <c r="B225" s="9"/>
      <c r="C225" s="9"/>
      <c r="D225" s="10"/>
      <c r="E225" s="242" t="s">
        <v>415</v>
      </c>
      <c r="F225" s="10">
        <f>10*INT(J224/10)</f>
        <v>190</v>
      </c>
      <c r="G225" s="10" t="s">
        <v>17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268"/>
      <c r="B226" s="268"/>
      <c r="C226" s="268"/>
      <c r="D226" s="7" t="s">
        <v>417</v>
      </c>
      <c r="E226" s="7"/>
      <c r="F226" s="7"/>
      <c r="G226" s="7"/>
      <c r="H226" s="240">
        <f>F204</f>
        <v>2</v>
      </c>
      <c r="I226" s="7" t="s">
        <v>418</v>
      </c>
      <c r="J226" s="7"/>
      <c r="K226" s="7">
        <f>F225</f>
        <v>190</v>
      </c>
      <c r="L226" s="7" t="s">
        <v>17</v>
      </c>
      <c r="M226" s="7"/>
      <c r="N226" s="7"/>
      <c r="O226" s="7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268"/>
      <c r="B227" s="268" t="s">
        <v>421</v>
      </c>
      <c r="C227" s="268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268"/>
      <c r="B228" s="268"/>
      <c r="C228" s="269" t="s">
        <v>423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268"/>
      <c r="B229" s="268"/>
      <c r="C229" s="270" t="s">
        <v>251</v>
      </c>
      <c r="D229" s="7" t="s">
        <v>427</v>
      </c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268"/>
      <c r="B230" s="268"/>
      <c r="C230" s="268"/>
      <c r="D230" s="7"/>
      <c r="E230" s="272" t="s">
        <v>428</v>
      </c>
      <c r="F230" s="71">
        <f>K120</f>
        <v>1920</v>
      </c>
      <c r="G230" s="7" t="s">
        <v>430</v>
      </c>
      <c r="H230" s="7"/>
      <c r="I230" s="274" t="str">
        <f>F149</f>
        <v>2f16 + 1f18</v>
      </c>
      <c r="J230" s="7" t="s">
        <v>431</v>
      </c>
      <c r="K230" s="240">
        <f>F150</f>
        <v>657</v>
      </c>
      <c r="L230" s="240" t="s">
        <v>432</v>
      </c>
      <c r="M230" s="7"/>
      <c r="N230" s="7"/>
      <c r="O230" s="7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268"/>
      <c r="B231" s="268"/>
      <c r="C231" s="268"/>
      <c r="D231" s="7" t="s">
        <v>434</v>
      </c>
      <c r="E231" s="7"/>
      <c r="F231" s="240">
        <f>I162</f>
        <v>25</v>
      </c>
      <c r="G231" s="7" t="s">
        <v>435</v>
      </c>
      <c r="H231" s="7"/>
      <c r="I231" s="240">
        <f>H170</f>
        <v>500</v>
      </c>
      <c r="J231" s="240">
        <f> -F231</f>
        <v>-25</v>
      </c>
      <c r="K231" s="240">
        <v>-0.5</v>
      </c>
      <c r="L231" s="240">
        <f>VALUE(MID(I230,10,2))</f>
        <v>18</v>
      </c>
      <c r="M231" s="275" t="s">
        <v>40</v>
      </c>
      <c r="N231" s="7">
        <f>I231+J231+K231*L231</f>
        <v>466</v>
      </c>
      <c r="O231" s="7" t="s">
        <v>17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268"/>
      <c r="B232" s="268"/>
      <c r="C232" s="268"/>
      <c r="D232" s="7"/>
      <c r="E232" s="7"/>
      <c r="F232" s="276"/>
      <c r="G232" s="276"/>
      <c r="H232" s="240"/>
      <c r="I232" s="7"/>
      <c r="J232" s="7"/>
      <c r="K232" s="7"/>
      <c r="L232" s="7"/>
      <c r="M232" s="7"/>
      <c r="N232" s="7"/>
      <c r="O232" s="7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268"/>
      <c r="B233" s="268"/>
      <c r="C233" s="268"/>
      <c r="D233" s="7"/>
      <c r="E233" s="277"/>
      <c r="F233" s="276">
        <f>H88</f>
        <v>260</v>
      </c>
      <c r="G233" s="276">
        <f>K230</f>
        <v>657</v>
      </c>
      <c r="H233" s="240"/>
      <c r="I233" s="278">
        <f>F233*G233/(F234*G234*H234)</f>
        <v>0.01660174473</v>
      </c>
      <c r="J233" s="7"/>
      <c r="K233" s="7"/>
      <c r="L233" s="7"/>
      <c r="M233" s="7"/>
      <c r="N233" s="7"/>
      <c r="O233" s="7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268"/>
      <c r="B234" s="268"/>
      <c r="C234" s="268"/>
      <c r="D234" s="7"/>
      <c r="E234" s="7"/>
      <c r="F234" s="240">
        <f>G169</f>
        <v>11.5</v>
      </c>
      <c r="G234" s="71">
        <f>F230</f>
        <v>1920</v>
      </c>
      <c r="H234" s="240">
        <f>N231</f>
        <v>466</v>
      </c>
      <c r="I234" s="7"/>
      <c r="J234" s="7"/>
      <c r="K234" s="7"/>
      <c r="L234" s="7"/>
      <c r="M234" s="7"/>
      <c r="N234" s="7"/>
      <c r="O234" s="7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268"/>
      <c r="B235" s="268"/>
      <c r="C235" s="268"/>
      <c r="D235" s="7"/>
      <c r="E235" s="7"/>
      <c r="F235" s="240"/>
      <c r="G235" s="240"/>
      <c r="H235" s="240"/>
      <c r="I235" s="7"/>
      <c r="J235" s="7"/>
      <c r="K235" s="7"/>
      <c r="L235" s="7"/>
      <c r="M235" s="7"/>
      <c r="N235" s="7"/>
      <c r="O235" s="7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268"/>
      <c r="B236" s="268"/>
      <c r="C236" s="268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268"/>
      <c r="B237" s="268"/>
      <c r="C237" s="268"/>
      <c r="D237" s="7"/>
      <c r="E237" s="272" t="s">
        <v>442</v>
      </c>
      <c r="F237" s="280">
        <f>I233</f>
        <v>0.01660174473</v>
      </c>
      <c r="G237" s="7">
        <f>N231</f>
        <v>466</v>
      </c>
      <c r="H237" s="275" t="s">
        <v>40</v>
      </c>
      <c r="I237" s="281">
        <f>F237*G237</f>
        <v>7.736413043</v>
      </c>
      <c r="J237" s="7" t="s">
        <v>21</v>
      </c>
      <c r="K237" s="282" t="str">
        <f>IF(I237&lt;M237,"&lt;","&gt;")</f>
        <v>&lt;</v>
      </c>
      <c r="L237" s="272" t="s">
        <v>444</v>
      </c>
      <c r="M237" s="7">
        <f>'Tính Bản'!M5</f>
        <v>90</v>
      </c>
      <c r="N237" s="7" t="s">
        <v>17</v>
      </c>
      <c r="O237" s="7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268"/>
      <c r="B238" s="268"/>
      <c r="C238" s="268"/>
      <c r="D238" s="7"/>
      <c r="E238" s="7" t="str">
        <f>IF(K237="&lt;","trục trung hòa đi qua cánh",IF(K237="&gt;","trục trung hoàn đi qua sườn",""))</f>
        <v>trục trung hòa đi qua cánh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268"/>
      <c r="B239" s="268"/>
      <c r="C239" s="268"/>
      <c r="D239" s="7"/>
      <c r="E239" s="7"/>
      <c r="F239" s="283" t="s">
        <v>446</v>
      </c>
      <c r="G239" s="280">
        <f>I233</f>
        <v>0.01660174473</v>
      </c>
      <c r="H239" s="275" t="s">
        <v>40</v>
      </c>
      <c r="I239" s="280">
        <f>1-I233/2</f>
        <v>0.9916991276</v>
      </c>
      <c r="J239" s="7"/>
      <c r="K239" s="7"/>
      <c r="L239" s="7"/>
      <c r="M239" s="7"/>
      <c r="N239" s="7"/>
      <c r="O239" s="7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268"/>
      <c r="B240" s="268"/>
      <c r="C240" s="268"/>
      <c r="D240" s="7"/>
      <c r="E240" s="284" t="s">
        <v>448</v>
      </c>
      <c r="F240" s="7"/>
      <c r="G240" s="7">
        <f>H88</f>
        <v>260</v>
      </c>
      <c r="H240" s="7">
        <f>K230</f>
        <v>657</v>
      </c>
      <c r="I240" s="280">
        <f>I239</f>
        <v>0.9916991276</v>
      </c>
      <c r="J240" s="7">
        <f>N231</f>
        <v>466</v>
      </c>
      <c r="K240" s="275" t="s">
        <v>40</v>
      </c>
      <c r="L240" s="7">
        <f>G240*H240*I240*J240</f>
        <v>78941352.96</v>
      </c>
      <c r="M240" s="240" t="s">
        <v>449</v>
      </c>
      <c r="N240" s="280">
        <f>L240/1000000</f>
        <v>78.94135296</v>
      </c>
      <c r="O240" s="7" t="s">
        <v>450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268"/>
      <c r="B241" s="268"/>
      <c r="C241" s="285" t="s">
        <v>251</v>
      </c>
      <c r="D241" s="7" t="s">
        <v>452</v>
      </c>
      <c r="E241" s="7"/>
      <c r="F241" s="7"/>
      <c r="G241" s="7"/>
      <c r="H241" s="7" t="s">
        <v>453</v>
      </c>
      <c r="I241" s="240">
        <f>'Tính Bản'!Q11</f>
        <v>220</v>
      </c>
      <c r="J241" s="240">
        <f>'Tính Bản'!N11</f>
        <v>500</v>
      </c>
      <c r="K241" s="7"/>
      <c r="L241" s="7"/>
      <c r="M241" s="7"/>
      <c r="N241" s="7"/>
      <c r="O241" s="7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268"/>
      <c r="B242" s="268"/>
      <c r="C242" s="268"/>
      <c r="D242" s="7"/>
      <c r="E242" s="276" t="s">
        <v>454</v>
      </c>
      <c r="F242" s="286" t="str">
        <f>G149</f>
        <v>2f16 + 1f16</v>
      </c>
      <c r="G242" s="7" t="s">
        <v>455</v>
      </c>
      <c r="H242" s="71">
        <f>G150</f>
        <v>603</v>
      </c>
      <c r="I242" s="240" t="s">
        <v>456</v>
      </c>
      <c r="J242" s="7"/>
      <c r="K242" s="7"/>
      <c r="L242" s="7"/>
      <c r="M242" s="7"/>
      <c r="N242" s="7"/>
      <c r="O242" s="7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268"/>
      <c r="B243" s="268"/>
      <c r="C243" s="268"/>
      <c r="D243" s="7" t="s">
        <v>434</v>
      </c>
      <c r="E243" s="7"/>
      <c r="F243" s="240">
        <f>I162</f>
        <v>25</v>
      </c>
      <c r="G243" s="7" t="s">
        <v>459</v>
      </c>
      <c r="H243" s="7"/>
      <c r="I243" s="240">
        <f>H170</f>
        <v>500</v>
      </c>
      <c r="J243" s="240">
        <f> -F243</f>
        <v>-25</v>
      </c>
      <c r="K243" s="240">
        <v>-0.5</v>
      </c>
      <c r="L243" s="240">
        <f>VALUE(MID(F242,10,2))</f>
        <v>16</v>
      </c>
      <c r="M243" s="275" t="s">
        <v>40</v>
      </c>
      <c r="N243" s="7">
        <f>I243+J243+K243*L243</f>
        <v>467</v>
      </c>
      <c r="O243" s="7" t="s">
        <v>17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268"/>
      <c r="B244" s="268"/>
      <c r="C244" s="268"/>
      <c r="D244" s="7"/>
      <c r="E244" s="7"/>
      <c r="F244" s="276"/>
      <c r="G244" s="276"/>
      <c r="H244" s="240"/>
      <c r="I244" s="7"/>
      <c r="J244" s="7"/>
      <c r="K244" s="7"/>
      <c r="L244" s="7"/>
      <c r="M244" s="7"/>
      <c r="N244" s="7"/>
      <c r="O244" s="7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268"/>
      <c r="B245" s="268"/>
      <c r="C245" s="268"/>
      <c r="D245" s="7"/>
      <c r="E245" s="277"/>
      <c r="F245" s="276">
        <f>H88</f>
        <v>260</v>
      </c>
      <c r="G245" s="287">
        <f>H242</f>
        <v>603</v>
      </c>
      <c r="H245" s="240"/>
      <c r="I245" s="278">
        <f>F245*G245/(F246*G246*H246)</f>
        <v>0.1326946027</v>
      </c>
      <c r="J245" s="282" t="str">
        <f>IF(I245&lt;0.3,"&lt;","&gt;")</f>
        <v>&lt;</v>
      </c>
      <c r="K245" s="284" t="s">
        <v>463</v>
      </c>
      <c r="L245" s="7"/>
      <c r="M245" s="7"/>
      <c r="N245" s="7"/>
      <c r="O245" s="7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268"/>
      <c r="B246" s="268"/>
      <c r="C246" s="268"/>
      <c r="D246" s="7"/>
      <c r="E246" s="7"/>
      <c r="F246" s="240">
        <f>G169</f>
        <v>11.5</v>
      </c>
      <c r="G246" s="240">
        <f>F170</f>
        <v>220</v>
      </c>
      <c r="H246" s="240">
        <f>N243</f>
        <v>467</v>
      </c>
      <c r="I246" s="7"/>
      <c r="J246" s="7"/>
      <c r="K246" s="7"/>
      <c r="L246" s="7"/>
      <c r="M246" s="7"/>
      <c r="N246" s="7"/>
      <c r="O246" s="7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268"/>
      <c r="B247" s="268"/>
      <c r="C247" s="268"/>
      <c r="D247" s="7"/>
      <c r="E247" s="7"/>
      <c r="F247" s="240"/>
      <c r="G247" s="240"/>
      <c r="H247" s="240"/>
      <c r="I247" s="7"/>
      <c r="J247" s="7"/>
      <c r="K247" s="7"/>
      <c r="L247" s="7"/>
      <c r="M247" s="7"/>
      <c r="N247" s="7"/>
      <c r="O247" s="7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268"/>
      <c r="B248" s="268"/>
      <c r="C248" s="268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268"/>
      <c r="B249" s="268"/>
      <c r="C249" s="268"/>
      <c r="D249" s="7"/>
      <c r="E249" s="7"/>
      <c r="F249" s="283" t="s">
        <v>468</v>
      </c>
      <c r="G249" s="280">
        <f>I245</f>
        <v>0.1326946027</v>
      </c>
      <c r="H249" s="275" t="s">
        <v>40</v>
      </c>
      <c r="I249" s="280">
        <f>1-I245/2</f>
        <v>0.9336526987</v>
      </c>
      <c r="J249" s="7"/>
      <c r="K249" s="7"/>
      <c r="L249" s="7"/>
      <c r="M249" s="7"/>
      <c r="N249" s="7"/>
      <c r="O249" s="7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268"/>
      <c r="B250" s="268"/>
      <c r="C250" s="268"/>
      <c r="D250" s="7"/>
      <c r="E250" s="284" t="s">
        <v>472</v>
      </c>
      <c r="F250" s="7"/>
      <c r="G250" s="7">
        <f>H88</f>
        <v>260</v>
      </c>
      <c r="H250" s="231">
        <f>H242</f>
        <v>603</v>
      </c>
      <c r="I250" s="280">
        <f>I249</f>
        <v>0.9336526987</v>
      </c>
      <c r="J250" s="7">
        <f>N243</f>
        <v>467</v>
      </c>
      <c r="K250" s="275" t="s">
        <v>40</v>
      </c>
      <c r="L250" s="7">
        <f>G250*H250*I250*J250</f>
        <v>68358558.74</v>
      </c>
      <c r="M250" s="240" t="s">
        <v>449</v>
      </c>
      <c r="N250" s="280">
        <f>L250/1000000</f>
        <v>68.35855874</v>
      </c>
      <c r="O250" s="7" t="s">
        <v>450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268"/>
      <c r="B251" s="268"/>
      <c r="C251" s="268"/>
      <c r="D251" s="7" t="s">
        <v>478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268"/>
      <c r="B252" s="268"/>
      <c r="C252" s="268"/>
      <c r="D252" s="7" t="s">
        <v>480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268"/>
      <c r="B253" s="268"/>
      <c r="C253" s="268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268"/>
      <c r="B254" s="268"/>
      <c r="C254" s="268"/>
      <c r="D254" s="268" t="s">
        <v>481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268"/>
      <c r="B255" s="268"/>
      <c r="C255" s="268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268"/>
      <c r="B256" s="268"/>
      <c r="C256" s="268"/>
      <c r="D256" s="288" t="s">
        <v>331</v>
      </c>
      <c r="E256" s="289" t="s">
        <v>332</v>
      </c>
      <c r="F256" s="290"/>
      <c r="G256" s="291" t="s">
        <v>484</v>
      </c>
      <c r="H256" s="291"/>
      <c r="I256" s="289"/>
      <c r="J256" s="292" t="s">
        <v>485</v>
      </c>
      <c r="K256" s="293" t="s">
        <v>84</v>
      </c>
      <c r="L256" s="293" t="s">
        <v>487</v>
      </c>
      <c r="M256" s="294" t="s">
        <v>488</v>
      </c>
      <c r="N256" s="7"/>
      <c r="O256" s="7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268"/>
      <c r="B257" s="268"/>
      <c r="C257" s="268"/>
      <c r="D257" s="22"/>
      <c r="E257" s="24"/>
      <c r="F257" s="22"/>
      <c r="G257" s="295" t="s">
        <v>490</v>
      </c>
      <c r="H257" s="23"/>
      <c r="I257" s="24"/>
      <c r="J257" s="296" t="s">
        <v>36</v>
      </c>
      <c r="K257" s="297"/>
      <c r="L257" s="297"/>
      <c r="M257" s="298" t="s">
        <v>494</v>
      </c>
      <c r="N257" s="7" t="s">
        <v>495</v>
      </c>
      <c r="O257" s="7" t="s">
        <v>496</v>
      </c>
      <c r="P257" s="299" t="s">
        <v>152</v>
      </c>
      <c r="Q257" s="299" t="s">
        <v>497</v>
      </c>
      <c r="R257" s="299" t="s">
        <v>498</v>
      </c>
      <c r="S257" s="10"/>
      <c r="T257" s="10"/>
      <c r="U257" s="10"/>
      <c r="V257" s="10"/>
      <c r="W257" s="10"/>
      <c r="X257" s="10"/>
      <c r="Y257" s="10"/>
      <c r="Z257" s="10"/>
    </row>
    <row r="258" ht="30.0" customHeight="1">
      <c r="A258" s="268"/>
      <c r="B258" s="268"/>
      <c r="C258" s="300" t="s">
        <v>501</v>
      </c>
      <c r="D258" s="290" t="s">
        <v>502</v>
      </c>
      <c r="E258" s="289"/>
      <c r="F258" s="301" t="str">
        <f>F149</f>
        <v>2f16 + 1f18</v>
      </c>
      <c r="G258" s="302" t="s">
        <v>505</v>
      </c>
      <c r="H258" s="169">
        <f>F150</f>
        <v>657</v>
      </c>
      <c r="I258" s="169"/>
      <c r="J258" s="303">
        <f>N258-O258-0.5*G259</f>
        <v>466</v>
      </c>
      <c r="K258" s="304">
        <f>(Q258*H258)/(R258*P258*N258)</f>
        <v>0.01547282609</v>
      </c>
      <c r="L258" s="305">
        <f>1-0.5*K258</f>
        <v>0.992263587</v>
      </c>
      <c r="M258" s="305">
        <f>Q258*H258*L258*J258/1000000</f>
        <v>78.98628512</v>
      </c>
      <c r="N258" s="7">
        <f>'Tính Bản'!N11</f>
        <v>500</v>
      </c>
      <c r="O258" s="7">
        <f>F243</f>
        <v>25</v>
      </c>
      <c r="P258" s="306">
        <f>F230</f>
        <v>1920</v>
      </c>
      <c r="Q258" s="299">
        <f>H88</f>
        <v>260</v>
      </c>
      <c r="R258" s="299">
        <f>G169</f>
        <v>11.5</v>
      </c>
      <c r="S258" s="10"/>
      <c r="T258" s="10"/>
      <c r="U258" s="10"/>
      <c r="V258" s="10"/>
      <c r="W258" s="10"/>
      <c r="X258" s="10"/>
      <c r="Y258" s="10"/>
      <c r="Z258" s="10"/>
    </row>
    <row r="259">
      <c r="A259" s="268"/>
      <c r="B259" s="268"/>
      <c r="C259" s="300" t="s">
        <v>507</v>
      </c>
      <c r="D259" s="290" t="s">
        <v>508</v>
      </c>
      <c r="E259" s="289"/>
      <c r="F259" s="276" t="s">
        <v>509</v>
      </c>
      <c r="G259" s="291">
        <f>INT(MID(F258,10,2))</f>
        <v>18</v>
      </c>
      <c r="H259" s="276" t="s">
        <v>510</v>
      </c>
      <c r="I259" s="291">
        <f>INT(MID(F258,3,2))</f>
        <v>16</v>
      </c>
      <c r="J259" s="290"/>
      <c r="K259" s="307"/>
      <c r="L259" s="240"/>
      <c r="M259" s="308"/>
      <c r="N259" s="7">
        <f t="shared" ref="N259:R259" si="6">N258</f>
        <v>500</v>
      </c>
      <c r="O259" s="7">
        <f t="shared" si="6"/>
        <v>25</v>
      </c>
      <c r="P259" s="306">
        <f t="shared" si="6"/>
        <v>1920</v>
      </c>
      <c r="Q259" s="299">
        <f t="shared" si="6"/>
        <v>260</v>
      </c>
      <c r="R259" s="299">
        <f t="shared" si="6"/>
        <v>11.5</v>
      </c>
      <c r="S259" s="10"/>
      <c r="T259" s="10"/>
      <c r="U259" s="10"/>
      <c r="V259" s="10"/>
      <c r="W259" s="10"/>
      <c r="X259" s="10"/>
      <c r="Y259" s="10"/>
      <c r="Z259" s="10"/>
    </row>
    <row r="260">
      <c r="A260" s="268"/>
      <c r="B260" s="268"/>
      <c r="C260" s="268"/>
      <c r="D260" s="22"/>
      <c r="E260" s="24"/>
      <c r="F260" s="22"/>
      <c r="G260" s="295" t="s">
        <v>511</v>
      </c>
      <c r="H260" s="23">
        <f>IF(G259=22,H258-380,IF(G259=20,H258-315,IF(G259=18,H258-254,IF(G259=16,H258-201,IF(G259=14,H258-154,IF(G259=12,H258-113,IF(G259=10,H258-79,IF(G259=8,H258-50,IF(G259=6,H258-28)))))))))</f>
        <v>403</v>
      </c>
      <c r="I260" s="23"/>
      <c r="J260" s="309">
        <f>N259-O259-0.5*I259</f>
        <v>467</v>
      </c>
      <c r="K260" s="310">
        <f t="shared" ref="K260:K261" si="8">(Q260*H260)/(R260*P260*N260)</f>
        <v>0.009490942029</v>
      </c>
      <c r="L260" s="278">
        <f t="shared" ref="L260:L261" si="9">1-0.5*K260</f>
        <v>0.995254529</v>
      </c>
      <c r="M260" s="311">
        <f t="shared" ref="M260:M261" si="10">Q260*H260*L260*J260/1000000</f>
        <v>48.70005338</v>
      </c>
      <c r="N260" s="7">
        <f t="shared" ref="N260:R260" si="7">N258</f>
        <v>500</v>
      </c>
      <c r="O260" s="7">
        <f t="shared" si="7"/>
        <v>25</v>
      </c>
      <c r="P260" s="306">
        <f t="shared" si="7"/>
        <v>1920</v>
      </c>
      <c r="Q260" s="299">
        <f t="shared" si="7"/>
        <v>260</v>
      </c>
      <c r="R260" s="299">
        <f t="shared" si="7"/>
        <v>11.5</v>
      </c>
      <c r="S260" s="10"/>
      <c r="T260" s="10"/>
      <c r="U260" s="10"/>
      <c r="V260" s="10"/>
      <c r="W260" s="10"/>
      <c r="X260" s="10"/>
      <c r="Y260" s="10"/>
      <c r="Z260" s="10"/>
    </row>
    <row r="261" ht="30.0" customHeight="1">
      <c r="A261" s="268"/>
      <c r="B261" s="268"/>
      <c r="C261" s="300" t="s">
        <v>512</v>
      </c>
      <c r="D261" s="312" t="s">
        <v>513</v>
      </c>
      <c r="E261" s="313"/>
      <c r="F261" s="301" t="str">
        <f>G149</f>
        <v>2f16 + 1f16</v>
      </c>
      <c r="G261" s="240" t="s">
        <v>514</v>
      </c>
      <c r="H261" s="169">
        <f>G150</f>
        <v>603</v>
      </c>
      <c r="I261" s="169"/>
      <c r="J261" s="303">
        <f>N261-O261-0.5*G262</f>
        <v>467</v>
      </c>
      <c r="K261" s="310">
        <f t="shared" si="8"/>
        <v>0.1239367589</v>
      </c>
      <c r="L261" s="305">
        <f t="shared" si="9"/>
        <v>0.9380316206</v>
      </c>
      <c r="M261" s="305">
        <f t="shared" si="10"/>
        <v>68.67916702</v>
      </c>
      <c r="N261" s="7">
        <f t="shared" ref="N261:O261" si="11">N258</f>
        <v>500</v>
      </c>
      <c r="O261" s="7">
        <f t="shared" si="11"/>
        <v>25</v>
      </c>
      <c r="P261" s="299">
        <f>I241</f>
        <v>220</v>
      </c>
      <c r="Q261" s="299">
        <f t="shared" ref="Q261:R261" si="12">Q258</f>
        <v>260</v>
      </c>
      <c r="R261" s="299">
        <f t="shared" si="12"/>
        <v>11.5</v>
      </c>
      <c r="S261" s="10"/>
      <c r="T261" s="10"/>
      <c r="U261" s="10"/>
      <c r="V261" s="10"/>
      <c r="W261" s="10"/>
      <c r="X261" s="10"/>
      <c r="Y261" s="10"/>
      <c r="Z261" s="10"/>
    </row>
    <row r="262">
      <c r="A262" s="268"/>
      <c r="B262" s="268"/>
      <c r="C262" s="300" t="s">
        <v>512</v>
      </c>
      <c r="D262" s="290" t="s">
        <v>515</v>
      </c>
      <c r="E262" s="289"/>
      <c r="F262" s="276" t="s">
        <v>516</v>
      </c>
      <c r="G262" s="291">
        <f>INT(MID(F261,10,2))</f>
        <v>16</v>
      </c>
      <c r="H262" s="276" t="s">
        <v>517</v>
      </c>
      <c r="I262" s="291">
        <f>INT(MID(F261,3,2))</f>
        <v>16</v>
      </c>
      <c r="J262" s="290"/>
      <c r="K262" s="307"/>
      <c r="L262" s="240"/>
      <c r="M262" s="308"/>
      <c r="N262" s="7">
        <f t="shared" ref="N262:O262" si="13">N258</f>
        <v>500</v>
      </c>
      <c r="O262" s="7">
        <f t="shared" si="13"/>
        <v>25</v>
      </c>
      <c r="P262" s="299">
        <f>P261</f>
        <v>220</v>
      </c>
      <c r="Q262" s="299">
        <f t="shared" ref="Q262:R262" si="14">Q258</f>
        <v>260</v>
      </c>
      <c r="R262" s="299">
        <f t="shared" si="14"/>
        <v>11.5</v>
      </c>
      <c r="S262" s="10"/>
      <c r="T262" s="10"/>
      <c r="U262" s="10"/>
      <c r="V262" s="10"/>
      <c r="W262" s="10"/>
      <c r="X262" s="10"/>
      <c r="Y262" s="10"/>
      <c r="Z262" s="10"/>
    </row>
    <row r="263">
      <c r="A263" s="268"/>
      <c r="B263" s="268"/>
      <c r="C263" s="268"/>
      <c r="D263" s="22"/>
      <c r="E263" s="24"/>
      <c r="F263" s="22"/>
      <c r="G263" s="295" t="s">
        <v>518</v>
      </c>
      <c r="H263" s="23">
        <f>IF(G262=22,H261-380,IF(G262=20,H261-315,IF(G262=18,H261-254,IF(G262=16,H261-201,IF(G262=14,H261-154,IF(G262=12,H261-113,IF(G262=10,H261-79,IF(G262=8,H261-50,IF(G262=6,H261-28)))))))))</f>
        <v>402</v>
      </c>
      <c r="I263" s="23"/>
      <c r="J263" s="309">
        <f>N262-O262-0.5*I262</f>
        <v>467</v>
      </c>
      <c r="K263" s="310">
        <f t="shared" ref="K263:K264" si="17">(Q263*H263)/(R263*P263*N263)</f>
        <v>0.08262450593</v>
      </c>
      <c r="L263" s="278">
        <f t="shared" ref="L263:L264" si="18">1-0.5*K263</f>
        <v>0.958687747</v>
      </c>
      <c r="M263" s="311">
        <f t="shared" ref="M263:M264" si="19">Q263*H263*L263*J263/1000000</f>
        <v>46.79435423</v>
      </c>
      <c r="N263" s="7">
        <f t="shared" ref="N263:O263" si="15">N258</f>
        <v>500</v>
      </c>
      <c r="O263" s="7">
        <f t="shared" si="15"/>
        <v>25</v>
      </c>
      <c r="P263" s="299">
        <f>P261</f>
        <v>220</v>
      </c>
      <c r="Q263" s="299">
        <f t="shared" ref="Q263:R263" si="16">Q258</f>
        <v>260</v>
      </c>
      <c r="R263" s="299">
        <f t="shared" si="16"/>
        <v>11.5</v>
      </c>
      <c r="S263" s="10"/>
      <c r="T263" s="10"/>
      <c r="U263" s="10"/>
      <c r="V263" s="10"/>
      <c r="W263" s="10"/>
      <c r="X263" s="10"/>
      <c r="Y263" s="10"/>
      <c r="Z263" s="10"/>
    </row>
    <row r="264" ht="30.0" customHeight="1">
      <c r="A264" s="268"/>
      <c r="B264" s="268"/>
      <c r="C264" s="300" t="s">
        <v>519</v>
      </c>
      <c r="D264" s="22" t="s">
        <v>520</v>
      </c>
      <c r="E264" s="24"/>
      <c r="F264" s="301" t="str">
        <f>H149</f>
        <v>2f14 + 1f14</v>
      </c>
      <c r="G264" s="302" t="s">
        <v>521</v>
      </c>
      <c r="H264" s="169">
        <f>H150</f>
        <v>462</v>
      </c>
      <c r="I264" s="169"/>
      <c r="J264" s="303">
        <f>N264-O264-0.5*G265</f>
        <v>468</v>
      </c>
      <c r="K264" s="314">
        <f t="shared" si="17"/>
        <v>0.01088043478</v>
      </c>
      <c r="L264" s="305">
        <f t="shared" si="18"/>
        <v>0.9945597826</v>
      </c>
      <c r="M264" s="305">
        <f t="shared" si="19"/>
        <v>55.91033187</v>
      </c>
      <c r="N264" s="7">
        <f t="shared" ref="N264:R264" si="20">N258</f>
        <v>500</v>
      </c>
      <c r="O264" s="7">
        <f t="shared" si="20"/>
        <v>25</v>
      </c>
      <c r="P264" s="306">
        <f t="shared" si="20"/>
        <v>1920</v>
      </c>
      <c r="Q264" s="299">
        <f t="shared" si="20"/>
        <v>260</v>
      </c>
      <c r="R264" s="299">
        <f t="shared" si="20"/>
        <v>11.5</v>
      </c>
      <c r="S264" s="10"/>
      <c r="T264" s="10"/>
      <c r="U264" s="10"/>
      <c r="V264" s="10"/>
      <c r="W264" s="10"/>
      <c r="X264" s="10"/>
      <c r="Y264" s="10"/>
      <c r="Z264" s="10"/>
    </row>
    <row r="265">
      <c r="A265" s="268"/>
      <c r="B265" s="268"/>
      <c r="C265" s="300" t="s">
        <v>522</v>
      </c>
      <c r="D265" s="290" t="s">
        <v>523</v>
      </c>
      <c r="E265" s="289"/>
      <c r="F265" s="276" t="s">
        <v>524</v>
      </c>
      <c r="G265" s="291">
        <f>INT(MID(F264,10,2))</f>
        <v>14</v>
      </c>
      <c r="H265" s="276" t="s">
        <v>525</v>
      </c>
      <c r="I265" s="291">
        <f>INT(MID(F264,3,2))</f>
        <v>14</v>
      </c>
      <c r="J265" s="290"/>
      <c r="K265" s="307"/>
      <c r="L265" s="240"/>
      <c r="M265" s="308"/>
      <c r="N265" s="7">
        <f t="shared" ref="N265:R265" si="21">N258</f>
        <v>500</v>
      </c>
      <c r="O265" s="7">
        <f t="shared" si="21"/>
        <v>25</v>
      </c>
      <c r="P265" s="306">
        <f t="shared" si="21"/>
        <v>1920</v>
      </c>
      <c r="Q265" s="299">
        <f t="shared" si="21"/>
        <v>260</v>
      </c>
      <c r="R265" s="299">
        <f t="shared" si="21"/>
        <v>11.5</v>
      </c>
      <c r="S265" s="10"/>
      <c r="T265" s="10"/>
      <c r="U265" s="10"/>
      <c r="V265" s="10"/>
      <c r="W265" s="10"/>
      <c r="X265" s="10"/>
      <c r="Y265" s="10"/>
      <c r="Z265" s="10"/>
    </row>
    <row r="266">
      <c r="A266" s="268"/>
      <c r="B266" s="268"/>
      <c r="C266" s="268"/>
      <c r="D266" s="22"/>
      <c r="E266" s="24"/>
      <c r="F266" s="22"/>
      <c r="G266" s="295" t="s">
        <v>526</v>
      </c>
      <c r="H266" s="23">
        <f>IF(G265=22,H264-380,IF(G265=20,H264-315,IF(G265=18,H264-254,IF(G265=16,H264-201,IF(G265=14,H264-154,IF(G265=12,H264-113,IF(G265=10,H264-79,IF(G265=8,H264-50,IF(G265=6,H264-28)))))))))</f>
        <v>308</v>
      </c>
      <c r="I266" s="23"/>
      <c r="J266" s="309">
        <f>N265-O265-0.5*I265</f>
        <v>468</v>
      </c>
      <c r="K266" s="310">
        <f t="shared" ref="K266:K267" si="23">(Q266*H266)/(R266*P266*N266)</f>
        <v>0.007253623188</v>
      </c>
      <c r="L266" s="278">
        <f t="shared" ref="L266:L267" si="24">1-0.5*K266</f>
        <v>0.9963731884</v>
      </c>
      <c r="M266" s="311">
        <f t="shared" ref="M266:M267" si="25">Q266*H266*L266*J266/1000000</f>
        <v>37.34151639</v>
      </c>
      <c r="N266" s="7">
        <f t="shared" ref="N266:R266" si="22">N258</f>
        <v>500</v>
      </c>
      <c r="O266" s="7">
        <f t="shared" si="22"/>
        <v>25</v>
      </c>
      <c r="P266" s="306">
        <f t="shared" si="22"/>
        <v>1920</v>
      </c>
      <c r="Q266" s="299">
        <f t="shared" si="22"/>
        <v>260</v>
      </c>
      <c r="R266" s="299">
        <f t="shared" si="22"/>
        <v>11.5</v>
      </c>
      <c r="S266" s="10"/>
      <c r="T266" s="10"/>
      <c r="U266" s="10"/>
      <c r="V266" s="10"/>
      <c r="W266" s="10"/>
      <c r="X266" s="10"/>
      <c r="Y266" s="10"/>
      <c r="Z266" s="10"/>
    </row>
    <row r="267" ht="30.0" customHeight="1">
      <c r="A267" s="268"/>
      <c r="B267" s="268"/>
      <c r="C267" s="300" t="s">
        <v>527</v>
      </c>
      <c r="D267" s="315" t="str">
        <f>IF(G3&lt;4,"","Trên gối 3")</f>
        <v/>
      </c>
      <c r="E267" s="316"/>
      <c r="F267" s="301" t="str">
        <f>IF(G3&lt;4,"",I149)</f>
        <v/>
      </c>
      <c r="G267" s="295" t="str">
        <f>IF(G3&lt;4,"","Có As =")</f>
        <v/>
      </c>
      <c r="H267" s="169" t="str">
        <f>I150</f>
        <v/>
      </c>
      <c r="I267" s="169"/>
      <c r="J267" s="303">
        <f>N267-O267-0.5*G268</f>
        <v>475</v>
      </c>
      <c r="K267" s="314">
        <f t="shared" si="23"/>
        <v>0</v>
      </c>
      <c r="L267" s="305">
        <f t="shared" si="24"/>
        <v>1</v>
      </c>
      <c r="M267" s="305">
        <f t="shared" si="25"/>
        <v>0</v>
      </c>
      <c r="N267" s="7">
        <f t="shared" ref="N267:O267" si="26">N258</f>
        <v>500</v>
      </c>
      <c r="O267" s="7">
        <f t="shared" si="26"/>
        <v>25</v>
      </c>
      <c r="P267" s="299">
        <f>P261</f>
        <v>220</v>
      </c>
      <c r="Q267" s="299">
        <f t="shared" ref="Q267:R267" si="27">Q258</f>
        <v>260</v>
      </c>
      <c r="R267" s="299">
        <f t="shared" si="27"/>
        <v>11.5</v>
      </c>
      <c r="S267" s="10"/>
      <c r="T267" s="10"/>
      <c r="U267" s="10"/>
      <c r="V267" s="10"/>
      <c r="W267" s="10"/>
      <c r="X267" s="10"/>
      <c r="Y267" s="10"/>
      <c r="Z267" s="10"/>
    </row>
    <row r="268">
      <c r="A268" s="268"/>
      <c r="B268" s="268"/>
      <c r="C268" s="300" t="s">
        <v>528</v>
      </c>
      <c r="D268" s="290" t="str">
        <f>IF(G3&lt;4,"","Cạnh gối 3")</f>
        <v/>
      </c>
      <c r="E268" s="289"/>
      <c r="F268" s="276" t="s">
        <v>529</v>
      </c>
      <c r="G268" s="7" t="str">
        <f>IF(G3&lt;4,"",INT(MID(F267,10,2)))</f>
        <v/>
      </c>
      <c r="H268" s="276" t="s">
        <v>530</v>
      </c>
      <c r="I268" s="7" t="str">
        <f>IF(G3&lt;4,"",INT(MID(F267,3,2)))</f>
        <v/>
      </c>
      <c r="J268" s="290"/>
      <c r="K268" s="307"/>
      <c r="L268" s="240"/>
      <c r="M268" s="308"/>
      <c r="N268" s="7">
        <f t="shared" ref="N268:O268" si="28">N258</f>
        <v>500</v>
      </c>
      <c r="O268" s="7">
        <f t="shared" si="28"/>
        <v>25</v>
      </c>
      <c r="P268" s="299">
        <f>P261</f>
        <v>220</v>
      </c>
      <c r="Q268" s="299">
        <f t="shared" ref="Q268:R268" si="29">Q258</f>
        <v>260</v>
      </c>
      <c r="R268" s="299">
        <f t="shared" si="29"/>
        <v>11.5</v>
      </c>
      <c r="S268" s="10"/>
      <c r="T268" s="10"/>
      <c r="U268" s="10"/>
      <c r="V268" s="10"/>
      <c r="W268" s="10"/>
      <c r="X268" s="10"/>
      <c r="Y268" s="10"/>
      <c r="Z268" s="10"/>
    </row>
    <row r="269">
      <c r="A269" s="268"/>
      <c r="B269" s="268"/>
      <c r="C269" s="268"/>
      <c r="D269" s="22"/>
      <c r="E269" s="24"/>
      <c r="F269" s="22"/>
      <c r="G269" s="295" t="str">
        <f>IF(G3&lt;4,"","Có As =")</f>
        <v/>
      </c>
      <c r="H269" s="23" t="b">
        <f>IF(G268=22,H267-380,IF(G268=20,H267-315,IF(G268=18,H267-254,IF(G268=16,H267-201,IF(G268=14,H267-154,IF(G268=12,H267-113,IF(G268=10,H267-79,IF(G268=8,H267-50,IF(G268=6,H267-28)))))))))</f>
        <v>0</v>
      </c>
      <c r="I269" s="23"/>
      <c r="J269" s="309">
        <f>N268-O268-0.5*I268</f>
        <v>475</v>
      </c>
      <c r="K269" s="310">
        <f>(Q269*H269)/(R269*P269*N269)</f>
        <v>0</v>
      </c>
      <c r="L269" s="278">
        <f>1-0.5*K269</f>
        <v>1</v>
      </c>
      <c r="M269" s="311">
        <f>Q269*H269*L269*J269/1000000</f>
        <v>0</v>
      </c>
      <c r="N269" s="7">
        <f t="shared" ref="N269:O269" si="30">N258</f>
        <v>500</v>
      </c>
      <c r="O269" s="7">
        <f t="shared" si="30"/>
        <v>25</v>
      </c>
      <c r="P269" s="299">
        <f>P261</f>
        <v>220</v>
      </c>
      <c r="Q269" s="299">
        <f t="shared" ref="Q269:R269" si="31">Q258</f>
        <v>260</v>
      </c>
      <c r="R269" s="299">
        <f t="shared" si="31"/>
        <v>11.5</v>
      </c>
      <c r="S269" s="10"/>
      <c r="T269" s="10"/>
      <c r="U269" s="10"/>
      <c r="V269" s="10"/>
      <c r="W269" s="10"/>
      <c r="X269" s="10"/>
      <c r="Y269" s="10"/>
      <c r="Z269" s="10"/>
    </row>
    <row r="270" ht="30.0" customHeight="1">
      <c r="A270" s="268"/>
      <c r="B270" s="268"/>
      <c r="C270" s="318" t="str">
        <f>IF(G3&lt;5,"","số11,10")</f>
        <v/>
      </c>
      <c r="D270" s="315" t="str">
        <f>IF(G3&lt;5,"","Giữa nhịp giữa")</f>
        <v/>
      </c>
      <c r="E270" s="316"/>
      <c r="F270" s="301" t="str">
        <f>IF(G3&lt;4,"",J149)</f>
        <v/>
      </c>
      <c r="G270" s="302" t="str">
        <f>IF(G3&lt;5,"","Có As =")</f>
        <v/>
      </c>
      <c r="H270" s="169" t="str">
        <f>J150</f>
        <v/>
      </c>
      <c r="I270" s="169"/>
      <c r="J270" s="303" t="str">
        <f>IF(G3&lt;5,"",N270-O270-0.5*G271)</f>
        <v/>
      </c>
      <c r="K270" s="314" t="str">
        <f>IF(G3&lt;5,"",(Q270*H270)/(R270*P270*N270))</f>
        <v/>
      </c>
      <c r="L270" s="305" t="str">
        <f>IF(G3&lt;5,"",1-0.5*K270)</f>
        <v/>
      </c>
      <c r="M270" s="305" t="str">
        <f>IF(G3&lt;5,"",Q270*H270*L270*J270/1000000)</f>
        <v/>
      </c>
      <c r="N270" s="7">
        <f t="shared" ref="N270:R270" si="32">N258</f>
        <v>500</v>
      </c>
      <c r="O270" s="7">
        <f t="shared" si="32"/>
        <v>25</v>
      </c>
      <c r="P270" s="306">
        <f t="shared" si="32"/>
        <v>1920</v>
      </c>
      <c r="Q270" s="299">
        <f t="shared" si="32"/>
        <v>260</v>
      </c>
      <c r="R270" s="299">
        <f t="shared" si="32"/>
        <v>11.5</v>
      </c>
      <c r="S270" s="10"/>
      <c r="T270" s="10"/>
      <c r="U270" s="10"/>
      <c r="V270" s="10"/>
      <c r="W270" s="10"/>
      <c r="X270" s="10"/>
      <c r="Y270" s="10"/>
      <c r="Z270" s="10"/>
    </row>
    <row r="271">
      <c r="A271" s="268"/>
      <c r="B271" s="268"/>
      <c r="C271" s="300" t="str">
        <f>IF(G3&lt;5,"","số10")</f>
        <v/>
      </c>
      <c r="D271" s="290" t="str">
        <f>IF(G3&lt;5,"","Cạnh nhịp giữa")</f>
        <v/>
      </c>
      <c r="E271" s="289"/>
      <c r="F271" s="276" t="str">
        <f>IF(G3&lt;5,"","Cắt 1 f")</f>
        <v/>
      </c>
      <c r="G271" s="291" t="str">
        <f>IF(G3&lt;5,"",INT(MID(F270,10,2)))</f>
        <v/>
      </c>
      <c r="H271" s="276" t="str">
        <f>IF(G3&lt;5,"","Còn 2 f")</f>
        <v/>
      </c>
      <c r="I271" s="291" t="str">
        <f>IF(G3&lt;5,"",INT(MID(F270,3,2)))</f>
        <v/>
      </c>
      <c r="J271" s="290"/>
      <c r="K271" s="307"/>
      <c r="L271" s="308"/>
      <c r="M271" s="308"/>
      <c r="N271" s="7">
        <f t="shared" ref="N271:R271" si="33">N258</f>
        <v>500</v>
      </c>
      <c r="O271" s="7">
        <f t="shared" si="33"/>
        <v>25</v>
      </c>
      <c r="P271" s="306">
        <f t="shared" si="33"/>
        <v>1920</v>
      </c>
      <c r="Q271" s="299">
        <f t="shared" si="33"/>
        <v>260</v>
      </c>
      <c r="R271" s="299">
        <f t="shared" si="33"/>
        <v>11.5</v>
      </c>
      <c r="S271" s="10"/>
      <c r="T271" s="10"/>
      <c r="U271" s="10"/>
      <c r="V271" s="10"/>
      <c r="W271" s="10"/>
      <c r="X271" s="10"/>
      <c r="Y271" s="10"/>
      <c r="Z271" s="10"/>
    </row>
    <row r="272">
      <c r="A272" s="268"/>
      <c r="B272" s="268"/>
      <c r="C272" s="268"/>
      <c r="D272" s="22"/>
      <c r="E272" s="24"/>
      <c r="F272" s="22"/>
      <c r="G272" s="295" t="str">
        <f>IF(G3&lt;5,"","Có As =")</f>
        <v/>
      </c>
      <c r="H272" s="23" t="str">
        <f>IF(G3&lt;5,"",IF(G271=22,H270-380,IF(G271=20,H270-315,IF(G271=18,H270-254,IF(G271=16,H270-201,IF(G271=14,H270-154,IF(G271=12,H270-113,IF(G271=10,H270-79,IF(G271=8,H270-50,IF(G271=6,H270-28))))))))))</f>
        <v/>
      </c>
      <c r="I272" s="23"/>
      <c r="J272" s="309" t="str">
        <f>IF(G3&lt;5,"",N271-O271-0.5*I271)</f>
        <v/>
      </c>
      <c r="K272" s="310" t="str">
        <f>IF(G3&lt;5,"",(Q272*H272)/(R272*P272*N272))</f>
        <v/>
      </c>
      <c r="L272" s="311" t="str">
        <f>IF(G3&lt;5,"",1-0.5*K272)</f>
        <v/>
      </c>
      <c r="M272" s="311" t="str">
        <f>IF(G3&lt;5,"",Q272*H272*L272*J272/1000000)</f>
        <v/>
      </c>
      <c r="N272" s="7">
        <f t="shared" ref="N272:R272" si="34">N258</f>
        <v>500</v>
      </c>
      <c r="O272" s="7">
        <f t="shared" si="34"/>
        <v>25</v>
      </c>
      <c r="P272" s="306">
        <f t="shared" si="34"/>
        <v>1920</v>
      </c>
      <c r="Q272" s="299">
        <f t="shared" si="34"/>
        <v>260</v>
      </c>
      <c r="R272" s="299">
        <f t="shared" si="34"/>
        <v>11.5</v>
      </c>
      <c r="S272" s="10"/>
      <c r="T272" s="10"/>
      <c r="U272" s="10"/>
      <c r="V272" s="10"/>
      <c r="W272" s="10"/>
      <c r="X272" s="10"/>
      <c r="Y272" s="10"/>
      <c r="Z272" s="10"/>
    </row>
    <row r="273">
      <c r="A273" s="268"/>
      <c r="B273" s="268"/>
      <c r="C273" s="268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268"/>
      <c r="B274" s="268" t="s">
        <v>531</v>
      </c>
      <c r="C274" s="268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268"/>
      <c r="B275" s="268"/>
      <c r="C275" s="268"/>
      <c r="D275" s="319"/>
      <c r="E275" s="320"/>
      <c r="F275" s="320"/>
      <c r="G275" s="320"/>
      <c r="H275" s="320"/>
      <c r="I275" s="320"/>
      <c r="J275" s="320"/>
      <c r="K275" s="320"/>
      <c r="L275" s="320"/>
      <c r="M275" s="321"/>
      <c r="N275" s="7"/>
      <c r="O275" s="7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268"/>
      <c r="B276" s="268"/>
      <c r="C276" s="268"/>
      <c r="D276" s="322"/>
      <c r="E276" s="7"/>
      <c r="F276" s="7"/>
      <c r="G276" s="7"/>
      <c r="H276" s="7"/>
      <c r="I276" s="7"/>
      <c r="J276" s="7"/>
      <c r="K276" s="7"/>
      <c r="L276" s="7"/>
      <c r="M276" s="323"/>
      <c r="N276" s="7"/>
      <c r="O276" s="7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268"/>
      <c r="B277" s="268"/>
      <c r="C277" s="268"/>
      <c r="D277" s="322"/>
      <c r="E277" s="7"/>
      <c r="F277" s="7"/>
      <c r="G277" s="7"/>
      <c r="H277" s="7"/>
      <c r="I277" s="7"/>
      <c r="J277" s="7"/>
      <c r="K277" s="7"/>
      <c r="L277" s="7"/>
      <c r="M277" s="323"/>
      <c r="N277" s="7"/>
      <c r="O277" s="7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268"/>
      <c r="B278" s="268"/>
      <c r="C278" s="268"/>
      <c r="D278" s="322"/>
      <c r="E278" s="7"/>
      <c r="F278" s="7"/>
      <c r="G278" s="7"/>
      <c r="H278" s="7"/>
      <c r="I278" s="7"/>
      <c r="J278" s="7"/>
      <c r="K278" s="7"/>
      <c r="L278" s="7"/>
      <c r="M278" s="323"/>
      <c r="N278" s="7"/>
      <c r="O278" s="7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268"/>
      <c r="B279" s="268"/>
      <c r="C279" s="268"/>
      <c r="D279" s="322"/>
      <c r="E279" s="7"/>
      <c r="F279" s="7"/>
      <c r="G279" s="7"/>
      <c r="H279" s="7"/>
      <c r="I279" s="7"/>
      <c r="J279" s="7"/>
      <c r="K279" s="7"/>
      <c r="L279" s="7"/>
      <c r="M279" s="323"/>
      <c r="N279" s="7"/>
      <c r="O279" s="7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268"/>
      <c r="B280" s="268"/>
      <c r="C280" s="268"/>
      <c r="D280" s="322"/>
      <c r="E280" s="7"/>
      <c r="F280" s="7"/>
      <c r="G280" s="7"/>
      <c r="H280" s="7"/>
      <c r="I280" s="7"/>
      <c r="J280" s="7"/>
      <c r="K280" s="7"/>
      <c r="L280" s="7"/>
      <c r="M280" s="323"/>
      <c r="N280" s="7"/>
      <c r="O280" s="7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268"/>
      <c r="B281" s="268"/>
      <c r="C281" s="268"/>
      <c r="D281" s="322"/>
      <c r="E281" s="7"/>
      <c r="F281" s="7"/>
      <c r="G281" s="268" t="s">
        <v>532</v>
      </c>
      <c r="H281" s="7"/>
      <c r="I281" s="7"/>
      <c r="J281" s="7"/>
      <c r="K281" s="7"/>
      <c r="L281" s="7"/>
      <c r="M281" s="323"/>
      <c r="N281" s="7"/>
      <c r="O281" s="7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268"/>
      <c r="B282" s="268"/>
      <c r="C282" s="268"/>
      <c r="D282" s="322"/>
      <c r="E282" s="7"/>
      <c r="F282" s="7"/>
      <c r="G282" s="7"/>
      <c r="H282" s="7"/>
      <c r="I282" s="7"/>
      <c r="J282" s="7"/>
      <c r="K282" s="7"/>
      <c r="L282" s="7"/>
      <c r="M282" s="323"/>
      <c r="N282" s="7"/>
      <c r="O282" s="7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268"/>
      <c r="B283" s="268"/>
      <c r="C283" s="268"/>
      <c r="D283" s="322"/>
      <c r="E283" s="7"/>
      <c r="F283" s="7"/>
      <c r="G283" s="7"/>
      <c r="H283" s="7"/>
      <c r="I283" s="7"/>
      <c r="J283" s="7"/>
      <c r="K283" s="7"/>
      <c r="L283" s="7"/>
      <c r="M283" s="323"/>
      <c r="N283" s="7"/>
      <c r="O283" s="7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268"/>
      <c r="B284" s="268"/>
      <c r="C284" s="268"/>
      <c r="D284" s="322"/>
      <c r="E284" s="7"/>
      <c r="F284" s="7"/>
      <c r="G284" s="7"/>
      <c r="H284" s="7" t="s">
        <v>535</v>
      </c>
      <c r="I284" s="7"/>
      <c r="J284" s="7"/>
      <c r="K284" s="7"/>
      <c r="L284" s="7"/>
      <c r="M284" s="323"/>
      <c r="N284" s="7"/>
      <c r="O284" s="7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268"/>
      <c r="B285" s="268"/>
      <c r="C285" s="268"/>
      <c r="D285" s="325"/>
      <c r="E285" s="327"/>
      <c r="F285" s="327"/>
      <c r="G285" s="327"/>
      <c r="H285" s="327"/>
      <c r="I285" s="327"/>
      <c r="J285" s="327"/>
      <c r="K285" s="327"/>
      <c r="L285" s="327"/>
      <c r="M285" s="329"/>
      <c r="N285" s="7"/>
      <c r="O285" s="7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268"/>
      <c r="B286" s="268"/>
      <c r="C286" s="285" t="s">
        <v>251</v>
      </c>
      <c r="D286" s="7" t="s">
        <v>538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268"/>
      <c r="B287" s="268"/>
      <c r="C287" s="332" t="s">
        <v>24</v>
      </c>
      <c r="D287" s="284" t="s">
        <v>544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268"/>
      <c r="B288" s="268"/>
      <c r="C288" s="268"/>
      <c r="D288" s="7" t="s">
        <v>545</v>
      </c>
      <c r="E288" s="7"/>
      <c r="F288" s="7"/>
      <c r="G288" s="7"/>
      <c r="H288" s="7"/>
      <c r="I288" s="7"/>
      <c r="J288" s="7"/>
      <c r="K288" s="7"/>
      <c r="L288" s="278">
        <f>M263</f>
        <v>46.79435423</v>
      </c>
      <c r="M288" s="7" t="s">
        <v>450</v>
      </c>
      <c r="N288" s="7"/>
      <c r="O288" s="7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268"/>
      <c r="B289" s="268"/>
      <c r="C289" s="268"/>
      <c r="D289" s="7" t="s">
        <v>546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268"/>
      <c r="B290" s="268"/>
      <c r="C290" s="268"/>
      <c r="D290" s="7" t="s">
        <v>547</v>
      </c>
      <c r="E290" s="7"/>
      <c r="F290" s="7"/>
      <c r="G290" s="7"/>
      <c r="H290" s="7"/>
      <c r="I290" s="7"/>
      <c r="J290" s="7"/>
      <c r="K290" s="231">
        <f>(K79*(ABS(I62)-L288)/ABS(I62))*1000</f>
        <v>272.9581189</v>
      </c>
      <c r="L290" s="7" t="s">
        <v>17</v>
      </c>
      <c r="M290" s="7"/>
      <c r="N290" s="7"/>
      <c r="O290" s="7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268"/>
      <c r="B291" s="268"/>
      <c r="C291" s="332" t="s">
        <v>24</v>
      </c>
      <c r="D291" s="284" t="s">
        <v>548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268"/>
      <c r="B292" s="268"/>
      <c r="C292" s="268"/>
      <c r="D292" s="7" t="s">
        <v>549</v>
      </c>
      <c r="E292" s="7"/>
      <c r="F292" s="7"/>
      <c r="G292" s="7"/>
      <c r="H292" s="7"/>
      <c r="I292" s="7"/>
      <c r="J292" s="7"/>
      <c r="K292" s="7"/>
      <c r="L292" s="278">
        <f>L288</f>
        <v>46.79435423</v>
      </c>
      <c r="M292" s="7" t="s">
        <v>450</v>
      </c>
      <c r="N292" s="7"/>
      <c r="O292" s="7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268"/>
      <c r="B293" s="268"/>
      <c r="C293" s="268"/>
      <c r="D293" s="7" t="s">
        <v>550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268"/>
      <c r="B294" s="268"/>
      <c r="C294" s="268"/>
      <c r="D294" s="7" t="s">
        <v>551</v>
      </c>
      <c r="E294" s="7"/>
      <c r="F294" s="7"/>
      <c r="G294" s="7"/>
      <c r="H294" s="7"/>
      <c r="I294" s="7"/>
      <c r="J294" s="7"/>
      <c r="K294" s="231">
        <f>200*M12*(ABS(I62)-L292)/(ABS(I62)-ABS(I64))</f>
        <v>362.6628307</v>
      </c>
      <c r="L294" s="7" t="s">
        <v>17</v>
      </c>
      <c r="M294" s="7"/>
      <c r="N294" s="7"/>
      <c r="O294" s="7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268"/>
      <c r="B295" s="268"/>
      <c r="C295" s="285" t="s">
        <v>251</v>
      </c>
      <c r="D295" s="7" t="s">
        <v>552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268"/>
      <c r="B296" s="268"/>
      <c r="C296" s="332" t="s">
        <v>24</v>
      </c>
      <c r="D296" s="284" t="s">
        <v>544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268"/>
      <c r="B297" s="268"/>
      <c r="C297" s="268"/>
      <c r="D297" s="7" t="s">
        <v>553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268"/>
      <c r="B298" s="268"/>
      <c r="C298" s="268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268"/>
      <c r="B299" s="268"/>
      <c r="C299" s="268"/>
      <c r="D299" s="7"/>
      <c r="E299" s="27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268"/>
      <c r="B300" s="268"/>
      <c r="C300" s="268"/>
      <c r="D300" s="7"/>
      <c r="E300" s="7"/>
      <c r="F300" s="295">
        <f>(ABS(I62))</f>
        <v>61.25597356</v>
      </c>
      <c r="G300" s="336" t="s">
        <v>24</v>
      </c>
      <c r="H300" s="23">
        <v>0.0</v>
      </c>
      <c r="I300" s="337" t="s">
        <v>40</v>
      </c>
      <c r="J300" s="281">
        <f>F300/G301</f>
        <v>52.98109245</v>
      </c>
      <c r="K300" s="7" t="s">
        <v>373</v>
      </c>
      <c r="L300" s="7"/>
      <c r="M300" s="7"/>
      <c r="N300" s="7"/>
      <c r="O300" s="7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268"/>
      <c r="B301" s="268"/>
      <c r="C301" s="268"/>
      <c r="D301" s="7"/>
      <c r="E301" s="7"/>
      <c r="F301" s="7"/>
      <c r="G301" s="280">
        <f>K79</f>
        <v>1.156185551</v>
      </c>
      <c r="H301" s="7"/>
      <c r="I301" s="7"/>
      <c r="J301" s="7"/>
      <c r="K301" s="7"/>
      <c r="L301" s="7"/>
      <c r="M301" s="7"/>
      <c r="N301" s="7"/>
      <c r="O301" s="7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268"/>
      <c r="B302" s="268"/>
      <c r="C302" s="268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268"/>
      <c r="B303" s="268"/>
      <c r="C303" s="268"/>
      <c r="D303" s="7"/>
      <c r="E303" s="284" t="s">
        <v>554</v>
      </c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268"/>
      <c r="B304" s="268"/>
      <c r="C304" s="268"/>
      <c r="D304" s="7" t="s">
        <v>555</v>
      </c>
      <c r="E304" s="7"/>
      <c r="F304" s="7"/>
      <c r="G304" s="7"/>
      <c r="H304" s="7">
        <f>K226</f>
        <v>190</v>
      </c>
      <c r="I304" s="7" t="s">
        <v>413</v>
      </c>
      <c r="J304" s="7"/>
      <c r="K304" s="7"/>
      <c r="L304" s="7"/>
      <c r="M304" s="7"/>
      <c r="N304" s="7"/>
      <c r="O304" s="7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268"/>
      <c r="B305" s="268"/>
      <c r="C305" s="268"/>
      <c r="D305" s="7" t="s">
        <v>556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268"/>
      <c r="B306" s="268"/>
      <c r="C306" s="268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268"/>
      <c r="B307" s="268"/>
      <c r="C307" s="268"/>
      <c r="D307" s="7"/>
      <c r="E307" s="277"/>
      <c r="F307" s="240">
        <f>H89</f>
        <v>170</v>
      </c>
      <c r="G307" s="338" t="s">
        <v>84</v>
      </c>
      <c r="H307" s="339">
        <f>J208</f>
        <v>56.54866776</v>
      </c>
      <c r="I307" s="7"/>
      <c r="J307" s="7"/>
      <c r="K307" s="7"/>
      <c r="L307" s="7"/>
      <c r="M307" s="7"/>
      <c r="N307" s="7"/>
      <c r="O307" s="7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268"/>
      <c r="B308" s="268"/>
      <c r="C308" s="268"/>
      <c r="D308" s="7"/>
      <c r="E308" s="7"/>
      <c r="F308" s="275" t="s">
        <v>409</v>
      </c>
      <c r="G308" s="7"/>
      <c r="H308" s="7"/>
      <c r="I308" s="339">
        <f>F307*H307/G309</f>
        <v>50.59617642</v>
      </c>
      <c r="J308" s="7" t="s">
        <v>557</v>
      </c>
      <c r="K308" s="281">
        <f>I308</f>
        <v>50.59617642</v>
      </c>
      <c r="L308" s="7" t="s">
        <v>79</v>
      </c>
      <c r="M308" s="7"/>
      <c r="N308" s="7"/>
      <c r="O308" s="7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268"/>
      <c r="B309" s="268"/>
      <c r="C309" s="268"/>
      <c r="D309" s="7"/>
      <c r="E309" s="7"/>
      <c r="F309" s="7"/>
      <c r="G309" s="240">
        <f>H304</f>
        <v>190</v>
      </c>
      <c r="H309" s="7"/>
      <c r="I309" s="7"/>
      <c r="J309" s="7"/>
      <c r="K309" s="7"/>
      <c r="L309" s="7"/>
      <c r="M309" s="7"/>
      <c r="N309" s="7"/>
      <c r="O309" s="7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268"/>
      <c r="B310" s="268"/>
      <c r="C310" s="268"/>
      <c r="D310" s="7" t="s">
        <v>559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268"/>
      <c r="B311" s="268"/>
      <c r="C311" s="26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268"/>
      <c r="B312" s="268"/>
      <c r="C312" s="268"/>
      <c r="D312" s="7"/>
      <c r="E312" s="7"/>
      <c r="F312" s="7"/>
      <c r="G312" s="339">
        <f>J300</f>
        <v>52.98109245</v>
      </c>
      <c r="H312" s="275" t="s">
        <v>560</v>
      </c>
      <c r="I312" s="7"/>
      <c r="J312" s="7"/>
      <c r="K312" s="7"/>
      <c r="L312" s="7"/>
      <c r="M312" s="7"/>
      <c r="N312" s="7"/>
      <c r="O312" s="7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268"/>
      <c r="B313" s="268"/>
      <c r="C313" s="268"/>
      <c r="D313" s="7"/>
      <c r="E313" s="277"/>
      <c r="F313" s="7"/>
      <c r="G313" s="275" t="s">
        <v>561</v>
      </c>
      <c r="H313" s="7"/>
      <c r="I313" s="340" t="s">
        <v>562</v>
      </c>
      <c r="J313" s="7">
        <f>G262/1000</f>
        <v>0.016</v>
      </c>
      <c r="K313" s="275" t="s">
        <v>40</v>
      </c>
      <c r="L313" s="280">
        <f>G312/(2*H314)+5*J313</f>
        <v>0.6035681448</v>
      </c>
      <c r="M313" s="7" t="s">
        <v>563</v>
      </c>
      <c r="N313" s="231">
        <f>L313*1000</f>
        <v>603.5681448</v>
      </c>
      <c r="O313" s="7" t="s">
        <v>17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268"/>
      <c r="B314" s="268"/>
      <c r="C314" s="268"/>
      <c r="D314" s="7"/>
      <c r="E314" s="7"/>
      <c r="F314" s="7"/>
      <c r="G314" s="340" t="s">
        <v>564</v>
      </c>
      <c r="H314" s="281">
        <f>K308</f>
        <v>50.59617642</v>
      </c>
      <c r="I314" s="7"/>
      <c r="J314" s="7"/>
      <c r="K314" s="7"/>
      <c r="L314" s="7"/>
      <c r="M314" s="7"/>
      <c r="N314" s="7"/>
      <c r="O314" s="7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268"/>
      <c r="B315" s="268"/>
      <c r="C315" s="268"/>
      <c r="D315" s="7"/>
      <c r="E315" s="7" t="s">
        <v>565</v>
      </c>
      <c r="F315" s="7"/>
      <c r="G315" s="276"/>
      <c r="H315" s="281"/>
      <c r="I315" s="7"/>
      <c r="J315" s="7"/>
      <c r="K315" s="7"/>
      <c r="L315" s="7"/>
      <c r="M315" s="7"/>
      <c r="N315" s="7"/>
      <c r="O315" s="7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268"/>
      <c r="B316" s="268"/>
      <c r="C316" s="332" t="s">
        <v>24</v>
      </c>
      <c r="D316" s="284" t="s">
        <v>548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268"/>
      <c r="B317" s="268"/>
      <c r="C317" s="268"/>
      <c r="D317" s="7" t="s">
        <v>566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268"/>
      <c r="B318" s="268"/>
      <c r="C318" s="26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268"/>
      <c r="B319" s="268"/>
      <c r="C319" s="268"/>
      <c r="D319" s="7"/>
      <c r="E319" s="27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268"/>
      <c r="B320" s="268"/>
      <c r="C320" s="268"/>
      <c r="D320" s="7"/>
      <c r="E320" s="7"/>
      <c r="F320" s="342">
        <f>ABS(I62)</f>
        <v>61.25597356</v>
      </c>
      <c r="G320" s="336" t="s">
        <v>24</v>
      </c>
      <c r="H320" s="343">
        <f>ABS(I64)</f>
        <v>20.58223898</v>
      </c>
      <c r="I320" s="337" t="s">
        <v>40</v>
      </c>
      <c r="J320" s="281">
        <f>(F320-H320)/(0.2*G321)</f>
        <v>39.87621038</v>
      </c>
      <c r="K320" s="7" t="s">
        <v>373</v>
      </c>
      <c r="L320" s="7"/>
      <c r="M320" s="7"/>
      <c r="N320" s="7"/>
      <c r="O320" s="7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268"/>
      <c r="B321" s="268"/>
      <c r="C321" s="268"/>
      <c r="D321" s="7"/>
      <c r="E321" s="7"/>
      <c r="F321" s="276" t="s">
        <v>567</v>
      </c>
      <c r="G321" s="281">
        <f>M12</f>
        <v>5.1</v>
      </c>
      <c r="H321" s="7"/>
      <c r="I321" s="7"/>
      <c r="J321" s="7"/>
      <c r="K321" s="7"/>
      <c r="L321" s="7"/>
      <c r="M321" s="7"/>
      <c r="N321" s="7"/>
      <c r="O321" s="7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268"/>
      <c r="B322" s="268"/>
      <c r="C322" s="26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268"/>
      <c r="B323" s="268"/>
      <c r="C323" s="268"/>
      <c r="D323" s="7"/>
      <c r="E323" s="284" t="s">
        <v>568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268"/>
      <c r="B324" s="268"/>
      <c r="C324" s="268"/>
      <c r="D324" s="7" t="s">
        <v>569</v>
      </c>
      <c r="E324" s="7"/>
      <c r="F324" s="7"/>
      <c r="G324" s="7"/>
      <c r="H324" s="7">
        <f>K226</f>
        <v>190</v>
      </c>
      <c r="I324" s="7" t="s">
        <v>413</v>
      </c>
      <c r="J324" s="7"/>
      <c r="K324" s="7"/>
      <c r="L324" s="7"/>
      <c r="M324" s="7"/>
      <c r="N324" s="7"/>
      <c r="O324" s="7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268"/>
      <c r="B325" s="268"/>
      <c r="C325" s="268"/>
      <c r="D325" s="7" t="s">
        <v>570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268"/>
      <c r="B326" s="268"/>
      <c r="C326" s="26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268"/>
      <c r="B327" s="268"/>
      <c r="C327" s="268"/>
      <c r="D327" s="7"/>
      <c r="E327" s="277"/>
      <c r="F327" s="240">
        <f>H89</f>
        <v>170</v>
      </c>
      <c r="G327" s="338" t="s">
        <v>84</v>
      </c>
      <c r="H327" s="339">
        <f>J208</f>
        <v>56.54866776</v>
      </c>
      <c r="I327" s="7"/>
      <c r="J327" s="7"/>
      <c r="K327" s="7"/>
      <c r="L327" s="7"/>
      <c r="M327" s="7"/>
      <c r="N327" s="7"/>
      <c r="O327" s="7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268"/>
      <c r="B328" s="268"/>
      <c r="C328" s="268"/>
      <c r="D328" s="7"/>
      <c r="E328" s="7"/>
      <c r="F328" s="275" t="s">
        <v>409</v>
      </c>
      <c r="G328" s="7"/>
      <c r="H328" s="7"/>
      <c r="I328" s="339">
        <f>F327*H327/G329</f>
        <v>50.59617642</v>
      </c>
      <c r="J328" s="7" t="s">
        <v>557</v>
      </c>
      <c r="K328" s="281">
        <f>I328</f>
        <v>50.59617642</v>
      </c>
      <c r="L328" s="7" t="s">
        <v>79</v>
      </c>
      <c r="M328" s="7"/>
      <c r="N328" s="7"/>
      <c r="O328" s="7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268"/>
      <c r="B329" s="268"/>
      <c r="C329" s="268"/>
      <c r="D329" s="7"/>
      <c r="E329" s="7"/>
      <c r="F329" s="7"/>
      <c r="G329" s="240">
        <f>H324</f>
        <v>190</v>
      </c>
      <c r="H329" s="7"/>
      <c r="I329" s="7"/>
      <c r="J329" s="7"/>
      <c r="K329" s="7"/>
      <c r="L329" s="7"/>
      <c r="M329" s="7"/>
      <c r="N329" s="7"/>
      <c r="O329" s="7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268"/>
      <c r="B330" s="268"/>
      <c r="C330" s="268"/>
      <c r="D330" s="7" t="s">
        <v>571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268"/>
      <c r="B331" s="268"/>
      <c r="C331" s="26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268"/>
      <c r="B332" s="268"/>
      <c r="C332" s="268"/>
      <c r="D332" s="7"/>
      <c r="E332" s="7"/>
      <c r="F332" s="7"/>
      <c r="G332" s="339">
        <f>J320</f>
        <v>39.87621038</v>
      </c>
      <c r="H332" s="275" t="s">
        <v>560</v>
      </c>
      <c r="I332" s="7"/>
      <c r="J332" s="7"/>
      <c r="K332" s="7"/>
      <c r="L332" s="7"/>
      <c r="M332" s="7"/>
      <c r="N332" s="7"/>
      <c r="O332" s="7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268"/>
      <c r="B333" s="268"/>
      <c r="C333" s="268"/>
      <c r="D333" s="7"/>
      <c r="E333" s="277"/>
      <c r="F333" s="7"/>
      <c r="G333" s="275" t="s">
        <v>561</v>
      </c>
      <c r="H333" s="7"/>
      <c r="I333" s="340" t="s">
        <v>562</v>
      </c>
      <c r="J333" s="7">
        <f>G262/1000</f>
        <v>0.016</v>
      </c>
      <c r="K333" s="275" t="s">
        <v>40</v>
      </c>
      <c r="L333" s="280">
        <f>G332/(2*H334)+5*J333</f>
        <v>0.4740634767</v>
      </c>
      <c r="M333" s="7" t="s">
        <v>563</v>
      </c>
      <c r="N333" s="231">
        <f>L333*1000</f>
        <v>474.0634767</v>
      </c>
      <c r="O333" s="7" t="s">
        <v>17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268"/>
      <c r="B334" s="268"/>
      <c r="C334" s="268"/>
      <c r="D334" s="7"/>
      <c r="E334" s="7"/>
      <c r="F334" s="7"/>
      <c r="G334" s="340" t="s">
        <v>564</v>
      </c>
      <c r="H334" s="281">
        <f>K328</f>
        <v>50.59617642</v>
      </c>
      <c r="I334" s="7"/>
      <c r="J334" s="7"/>
      <c r="K334" s="7"/>
      <c r="L334" s="7"/>
      <c r="M334" s="7"/>
      <c r="N334" s="7"/>
      <c r="O334" s="7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268"/>
      <c r="B335" s="268"/>
      <c r="C335" s="268"/>
      <c r="D335" s="7"/>
      <c r="E335" s="7" t="s">
        <v>572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268"/>
      <c r="B336" s="268"/>
      <c r="C336" s="285" t="s">
        <v>573</v>
      </c>
      <c r="D336" s="7" t="s">
        <v>574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268"/>
      <c r="B337" s="268"/>
      <c r="C337" s="268"/>
      <c r="D337" s="7"/>
      <c r="E337" s="268" t="s">
        <v>575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268"/>
      <c r="B338" s="268"/>
      <c r="C338" s="26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268"/>
      <c r="B339" s="268"/>
      <c r="C339" s="268"/>
      <c r="D339" s="344"/>
      <c r="E339" s="345" t="s">
        <v>576</v>
      </c>
      <c r="F339" s="346" t="s">
        <v>577</v>
      </c>
      <c r="G339" s="344"/>
      <c r="H339" s="347" t="s">
        <v>578</v>
      </c>
      <c r="I339" s="347"/>
      <c r="J339" s="346"/>
      <c r="K339" s="348" t="s">
        <v>579</v>
      </c>
      <c r="L339" s="346" t="s">
        <v>580</v>
      </c>
      <c r="M339" s="286" t="s">
        <v>581</v>
      </c>
      <c r="N339" s="240" t="s">
        <v>582</v>
      </c>
      <c r="O339" s="240" t="s">
        <v>583</v>
      </c>
      <c r="P339" s="183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268"/>
      <c r="B340" s="268"/>
      <c r="C340" s="268"/>
      <c r="D340" s="322" t="s">
        <v>584</v>
      </c>
      <c r="E340" s="7"/>
      <c r="F340" s="323"/>
      <c r="G340" s="344" t="s">
        <v>585</v>
      </c>
      <c r="H340" s="347"/>
      <c r="I340" s="349">
        <f>IF(M260&lt;H57,(1000*((0.2*M9*M260)/H57)-0.5*'Tính Bản'!M5),(1000*(0.2*M9+(0.2*M9*(M260-H57))/(H58-H57)))-0.5*'Tính Bản'!M5)</f>
        <v>862.7599736</v>
      </c>
      <c r="J340" s="350" t="s">
        <v>17</v>
      </c>
      <c r="K340" s="351" t="s">
        <v>586</v>
      </c>
      <c r="L340" s="352">
        <f t="shared" ref="L340:L345" si="35">1000*(M340+N340/O340)</f>
        <v>620.1645857</v>
      </c>
      <c r="M340" s="240">
        <f>5*G259/1000</f>
        <v>0.09</v>
      </c>
      <c r="N340" s="240">
        <f>H57/(0.2*M9)</f>
        <v>53.64860183</v>
      </c>
      <c r="O340" s="339">
        <f>2*K328</f>
        <v>101.1923528</v>
      </c>
      <c r="P340" s="183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268"/>
      <c r="B341" s="268"/>
      <c r="C341" s="268"/>
      <c r="D341" s="344" t="s">
        <v>587</v>
      </c>
      <c r="E341" s="347"/>
      <c r="F341" s="346"/>
      <c r="G341" s="344" t="s">
        <v>588</v>
      </c>
      <c r="H341" s="347"/>
      <c r="I341" s="71">
        <f>1000*(0.2*M9+((M260-H61)*0.2*M9/(H60-H61)))</f>
        <v>1733.352696</v>
      </c>
      <c r="J341" s="350" t="s">
        <v>17</v>
      </c>
      <c r="K341" s="351" t="s">
        <v>589</v>
      </c>
      <c r="L341" s="352">
        <f t="shared" si="35"/>
        <v>538.6008033</v>
      </c>
      <c r="M341" s="240">
        <f>5*G259/1000</f>
        <v>0.09</v>
      </c>
      <c r="N341" s="240">
        <f>(H60-H61)/(0.2*M9)</f>
        <v>45.39497078</v>
      </c>
      <c r="O341" s="339">
        <f>O340</f>
        <v>101.1923528</v>
      </c>
      <c r="P341" s="183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268"/>
      <c r="B342" s="268"/>
      <c r="C342" s="268"/>
      <c r="D342" s="322" t="s">
        <v>590</v>
      </c>
      <c r="E342" s="7"/>
      <c r="F342" s="323"/>
      <c r="G342" s="344" t="s">
        <v>591</v>
      </c>
      <c r="H342" s="347"/>
      <c r="I342" s="349">
        <f>1000*(0.2*M12+(0.2*M12*(M266-H64))/(H65-H64))</f>
        <v>1712.023231</v>
      </c>
      <c r="J342" s="350" t="s">
        <v>17</v>
      </c>
      <c r="K342" s="351" t="s">
        <v>592</v>
      </c>
      <c r="L342" s="352">
        <f t="shared" si="35"/>
        <v>390.5975263</v>
      </c>
      <c r="M342" s="240">
        <f>5*G265/1000</f>
        <v>0.07</v>
      </c>
      <c r="N342" s="240">
        <f>(H65-H64)/(0.2*M12)</f>
        <v>32.442018</v>
      </c>
      <c r="O342" s="339">
        <f>O340</f>
        <v>101.1923528</v>
      </c>
      <c r="P342" s="183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268"/>
      <c r="B343" s="268"/>
      <c r="C343" s="268"/>
      <c r="D343" s="344" t="s">
        <v>593</v>
      </c>
      <c r="E343" s="347"/>
      <c r="F343" s="346"/>
      <c r="G343" s="344" t="str">
        <f>IF(G3&lt;4,"","Cách mép trái gối 3 là")</f>
        <v/>
      </c>
      <c r="H343" s="347"/>
      <c r="I343" s="349" t="str">
        <f>IF(G3&lt;4,"",I342)</f>
        <v/>
      </c>
      <c r="J343" s="350" t="s">
        <v>17</v>
      </c>
      <c r="K343" s="351" t="s">
        <v>594</v>
      </c>
      <c r="L343" s="352">
        <f t="shared" si="35"/>
        <v>70</v>
      </c>
      <c r="M343" s="240">
        <f>5*G265/1000</f>
        <v>0.07</v>
      </c>
      <c r="N343" s="240">
        <f>(H67-H68)/(0.2*M12)</f>
        <v>0</v>
      </c>
      <c r="O343" s="339">
        <f>O340</f>
        <v>101.1923528</v>
      </c>
      <c r="P343" s="183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268"/>
      <c r="B344" s="268"/>
      <c r="C344" s="268"/>
      <c r="D344" s="322" t="str">
        <f>IF(G3&lt;4,"","Cốt thép số 8 (đầu bên trái)")</f>
        <v/>
      </c>
      <c r="E344" s="7"/>
      <c r="F344" s="323"/>
      <c r="G344" s="344" t="str">
        <f>IF(G3&lt;4,"","Cách mép trái gối 3 là")</f>
        <v/>
      </c>
      <c r="H344" s="347"/>
      <c r="I344" s="349" t="str">
        <f>IF(G3&lt;4,"",1000*(0.2*M12*(M269-ABS(I69))/(ABS(I68)-ABS(I69))))</f>
        <v/>
      </c>
      <c r="J344" s="350" t="str">
        <f>IF(G3&lt;4,"","mm.")</f>
        <v/>
      </c>
      <c r="K344" s="351" t="s">
        <v>595</v>
      </c>
      <c r="L344" s="352">
        <f t="shared" si="35"/>
        <v>0</v>
      </c>
      <c r="M344" s="240" t="str">
        <f>IF(G3&lt;4,"",5*G268/1000)</f>
        <v/>
      </c>
      <c r="N344" s="240" t="str">
        <f>IF(G3&lt;4,"",(I68-I69)/(0.2*M12))</f>
        <v/>
      </c>
      <c r="O344" s="339">
        <f>O340</f>
        <v>101.1923528</v>
      </c>
      <c r="P344" s="183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268"/>
      <c r="B345" s="268"/>
      <c r="C345" s="268"/>
      <c r="D345" s="344" t="str">
        <f>IF(G3&lt;4,"","Cốt thép số 8 (đầu bên phải)")</f>
        <v/>
      </c>
      <c r="E345" s="347"/>
      <c r="F345" s="346"/>
      <c r="G345" s="344" t="str">
        <f>IF(G3&lt;4,"","Cách mép phải gối 3 là")</f>
        <v/>
      </c>
      <c r="H345" s="347"/>
      <c r="I345" s="349" t="str">
        <f>IF(G3&lt;4,"",I344)</f>
        <v/>
      </c>
      <c r="J345" s="350" t="str">
        <f>IF(G3&lt;4,"","mm.")</f>
        <v/>
      </c>
      <c r="K345" s="351" t="s">
        <v>596</v>
      </c>
      <c r="L345" s="352">
        <f t="shared" si="35"/>
        <v>0</v>
      </c>
      <c r="M345" s="240" t="str">
        <f>IF(G3&lt;4,"",5*G268/1000)</f>
        <v/>
      </c>
      <c r="N345" s="240" t="str">
        <f>IF(G3&lt;4,"",N344)</f>
        <v/>
      </c>
      <c r="O345" s="339">
        <f>O340</f>
        <v>101.1923528</v>
      </c>
      <c r="P345" s="183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268"/>
      <c r="B346" s="268"/>
      <c r="C346" s="268"/>
      <c r="D346" s="344" t="str">
        <f>IF(G3&lt;5,"","Cốt thép số 6 (đầu bên trái, nhịp 3)")</f>
        <v/>
      </c>
      <c r="E346" s="347"/>
      <c r="F346" s="346"/>
      <c r="G346" s="344" t="str">
        <f>IF(G3&lt;5,"","Cách mép phải gối 3 là")</f>
        <v/>
      </c>
      <c r="H346" s="347"/>
      <c r="I346" s="349" t="str">
        <f>IF(G3&lt;5,"",I343)</f>
        <v/>
      </c>
      <c r="J346" s="350" t="str">
        <f>IF(G3&lt;5,"","mm.")</f>
        <v/>
      </c>
      <c r="K346" s="351" t="s">
        <v>597</v>
      </c>
      <c r="L346" s="352" t="str">
        <f>IF(G3&lt;5,"",1000*(M346+N346/O346))</f>
        <v/>
      </c>
      <c r="M346" s="240" t="str">
        <f>IF(G3&lt;5,"",5*G271/1000)</f>
        <v/>
      </c>
      <c r="N346" s="240" t="str">
        <f>IF(G3&lt;5,"",(H72-H71)/(0.2*M12))</f>
        <v/>
      </c>
      <c r="O346" s="339">
        <f>O340</f>
        <v>101.1923528</v>
      </c>
      <c r="P346" s="183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268"/>
      <c r="B347" s="268"/>
      <c r="C347" s="268"/>
      <c r="D347" s="7"/>
      <c r="E347" s="7"/>
      <c r="F347" s="7"/>
      <c r="G347" s="7"/>
      <c r="H347" s="7"/>
      <c r="I347" s="7"/>
      <c r="J347" s="7"/>
      <c r="K347" s="7"/>
      <c r="L347" s="7"/>
      <c r="M347" s="240"/>
      <c r="N347" s="240"/>
      <c r="O347" s="240"/>
      <c r="P347" s="353"/>
      <c r="Q347" s="18"/>
      <c r="R347" s="18"/>
      <c r="S347" s="10"/>
      <c r="T347" s="10"/>
      <c r="U347" s="10"/>
      <c r="V347" s="10"/>
      <c r="W347" s="10"/>
      <c r="X347" s="10"/>
      <c r="Y347" s="10"/>
      <c r="Z347" s="10"/>
    </row>
    <row r="348">
      <c r="A348" s="268"/>
      <c r="B348" s="268" t="s">
        <v>598</v>
      </c>
      <c r="C348" s="268" t="s">
        <v>466</v>
      </c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268"/>
      <c r="B349" s="268"/>
      <c r="C349" s="268"/>
      <c r="D349" s="7" t="s">
        <v>599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268"/>
      <c r="B350" s="268"/>
      <c r="C350" s="268"/>
      <c r="D350" s="7" t="s">
        <v>600</v>
      </c>
      <c r="E350" s="7"/>
      <c r="F350" s="240" t="s">
        <v>601</v>
      </c>
      <c r="G350" s="7" t="s">
        <v>602</v>
      </c>
      <c r="H350" s="7"/>
      <c r="I350" s="276" t="s">
        <v>603</v>
      </c>
      <c r="J350" s="240">
        <f>F170</f>
        <v>220</v>
      </c>
      <c r="K350" s="240">
        <f>J170</f>
        <v>466</v>
      </c>
      <c r="L350" s="354" t="s">
        <v>40</v>
      </c>
      <c r="M350" s="71">
        <f>J350*K350*0.001</f>
        <v>102.52</v>
      </c>
      <c r="N350" s="240" t="s">
        <v>604</v>
      </c>
      <c r="O350" s="7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9"/>
      <c r="B351" s="9"/>
      <c r="C351" s="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9"/>
      <c r="B352" s="9"/>
      <c r="C352" s="9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9"/>
      <c r="B353" s="9"/>
      <c r="C353" s="9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9"/>
      <c r="B354" s="9"/>
      <c r="C354" s="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9"/>
      <c r="B355" s="9"/>
      <c r="C355" s="9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9"/>
      <c r="B356" s="9"/>
      <c r="C356" s="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9"/>
      <c r="B357" s="9"/>
      <c r="C357" s="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9"/>
      <c r="B358" s="9"/>
      <c r="C358" s="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9"/>
      <c r="B359" s="9"/>
      <c r="C359" s="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9"/>
      <c r="B360" s="9"/>
      <c r="C360" s="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9"/>
      <c r="B361" s="9"/>
      <c r="C361" s="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9"/>
      <c r="B362" s="9"/>
      <c r="C362" s="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9"/>
      <c r="B363" s="9"/>
      <c r="C363" s="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9"/>
      <c r="B364" s="9"/>
      <c r="C364" s="9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9"/>
      <c r="B365" s="9"/>
      <c r="C365" s="9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9"/>
      <c r="B366" s="9"/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9"/>
      <c r="B367" s="9"/>
      <c r="C367" s="9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9"/>
      <c r="B368" s="9"/>
      <c r="C368" s="9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9"/>
      <c r="B369" s="9"/>
      <c r="C369" s="9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9"/>
      <c r="B370" s="9"/>
      <c r="C370" s="9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9"/>
      <c r="B371" s="9"/>
      <c r="C371" s="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9"/>
      <c r="B372" s="9"/>
      <c r="C372" s="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9"/>
      <c r="B373" s="9"/>
      <c r="C373" s="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9"/>
      <c r="B374" s="9"/>
      <c r="C374" s="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9"/>
      <c r="B375" s="9"/>
      <c r="C375" s="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9"/>
      <c r="B376" s="9"/>
      <c r="C376" s="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9"/>
      <c r="B377" s="9"/>
      <c r="C377" s="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9"/>
      <c r="B378" s="9"/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9"/>
      <c r="B379" s="9"/>
      <c r="C379" s="9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9"/>
      <c r="B380" s="9"/>
      <c r="C380" s="9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9"/>
      <c r="B381" s="9"/>
      <c r="C381" s="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9"/>
      <c r="B382" s="9"/>
      <c r="C382" s="9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9"/>
      <c r="B383" s="9"/>
      <c r="C383" s="9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9"/>
      <c r="B384" s="9"/>
      <c r="C384" s="9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9"/>
      <c r="B385" s="9"/>
      <c r="C385" s="9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9"/>
      <c r="B386" s="9"/>
      <c r="C386" s="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9"/>
      <c r="B387" s="9"/>
      <c r="C387" s="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9"/>
      <c r="B388" s="9"/>
      <c r="C388" s="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9"/>
      <c r="B389" s="9"/>
      <c r="C389" s="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9"/>
      <c r="B390" s="9"/>
      <c r="C390" s="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9"/>
      <c r="B391" s="9"/>
      <c r="C391" s="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9"/>
      <c r="B392" s="9"/>
      <c r="C392" s="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9"/>
      <c r="B393" s="9"/>
      <c r="C393" s="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9"/>
      <c r="B394" s="9"/>
      <c r="C394" s="9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9"/>
      <c r="B395" s="9"/>
      <c r="C395" s="9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9"/>
      <c r="B396" s="9"/>
      <c r="C396" s="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9"/>
      <c r="B397" s="9"/>
      <c r="C397" s="9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9"/>
      <c r="B398" s="9"/>
      <c r="C398" s="9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9"/>
      <c r="B399" s="9"/>
      <c r="C399" s="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9"/>
      <c r="B400" s="9"/>
      <c r="C400" s="9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9"/>
      <c r="B401" s="9"/>
      <c r="C401" s="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9"/>
      <c r="B402" s="9"/>
      <c r="C402" s="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9"/>
      <c r="B403" s="9"/>
      <c r="C403" s="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9"/>
      <c r="B404" s="9"/>
      <c r="C404" s="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9"/>
      <c r="B405" s="9"/>
      <c r="C405" s="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9"/>
      <c r="B406" s="9"/>
      <c r="C406" s="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9"/>
      <c r="B407" s="9"/>
      <c r="C407" s="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9"/>
      <c r="B408" s="9"/>
      <c r="C408" s="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9"/>
      <c r="B409" s="9"/>
      <c r="C409" s="9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9"/>
      <c r="B410" s="9"/>
      <c r="C410" s="9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9"/>
      <c r="B411" s="9"/>
      <c r="C411" s="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9"/>
      <c r="B412" s="9"/>
      <c r="C412" s="9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9"/>
      <c r="B413" s="9"/>
      <c r="C413" s="9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9"/>
      <c r="B414" s="9"/>
      <c r="C414" s="9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9"/>
      <c r="B415" s="9"/>
      <c r="C415" s="9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9"/>
      <c r="B416" s="9"/>
      <c r="C416" s="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9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9"/>
      <c r="B418" s="9"/>
      <c r="C418" s="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9"/>
      <c r="B419" s="9"/>
      <c r="C419" s="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9"/>
      <c r="B420" s="9"/>
      <c r="C420" s="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9"/>
      <c r="B421" s="9"/>
      <c r="C421" s="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9"/>
      <c r="B422" s="9"/>
      <c r="C422" s="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9"/>
      <c r="B423" s="9"/>
      <c r="C423" s="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9"/>
      <c r="B424" s="9"/>
      <c r="C424" s="9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9"/>
      <c r="B425" s="9"/>
      <c r="C425" s="9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9"/>
      <c r="B426" s="9"/>
      <c r="C426" s="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9"/>
      <c r="B427" s="9"/>
      <c r="C427" s="9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9"/>
      <c r="B428" s="9"/>
      <c r="C428" s="9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9"/>
      <c r="B429" s="9"/>
      <c r="C429" s="9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9"/>
      <c r="B431" s="9"/>
      <c r="C431" s="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9"/>
      <c r="B432" s="9"/>
      <c r="C432" s="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9"/>
      <c r="B433" s="9"/>
      <c r="C433" s="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9"/>
      <c r="B434" s="9"/>
      <c r="C434" s="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9"/>
      <c r="B435" s="9"/>
      <c r="C435" s="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9"/>
      <c r="B437" s="9"/>
      <c r="C437" s="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9"/>
      <c r="B438" s="9"/>
      <c r="C438" s="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9"/>
      <c r="B439" s="9"/>
      <c r="C439" s="9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9"/>
      <c r="B440" s="9"/>
      <c r="C440" s="9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9"/>
      <c r="B441" s="9"/>
      <c r="C441" s="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9"/>
      <c r="B442" s="9"/>
      <c r="C442" s="9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9"/>
      <c r="B443" s="9"/>
      <c r="C443" s="9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9"/>
      <c r="B444" s="9"/>
      <c r="C444" s="9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9"/>
      <c r="B445" s="9"/>
      <c r="C445" s="9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9"/>
      <c r="B446" s="9"/>
      <c r="C446" s="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9"/>
      <c r="B447" s="9"/>
      <c r="C447" s="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9"/>
      <c r="B448" s="9"/>
      <c r="C448" s="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9"/>
      <c r="B449" s="9"/>
      <c r="C449" s="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9"/>
      <c r="B450" s="9"/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9"/>
      <c r="B451" s="9"/>
      <c r="C451" s="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9"/>
      <c r="B452" s="9"/>
      <c r="C452" s="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9"/>
      <c r="B453" s="9"/>
      <c r="C453" s="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9"/>
      <c r="B454" s="9"/>
      <c r="C454" s="9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9"/>
      <c r="B455" s="9"/>
      <c r="C455" s="9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9"/>
      <c r="B456" s="9"/>
      <c r="C456" s="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9"/>
      <c r="B457" s="9"/>
      <c r="C457" s="9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9"/>
      <c r="B458" s="9"/>
      <c r="C458" s="9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9"/>
      <c r="B459" s="9"/>
      <c r="C459" s="9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9"/>
      <c r="B460" s="9"/>
      <c r="C460" s="9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9"/>
      <c r="B461" s="9"/>
      <c r="C461" s="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9"/>
      <c r="B462" s="9"/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9"/>
      <c r="B463" s="9"/>
      <c r="C463" s="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9"/>
      <c r="B464" s="9"/>
      <c r="C464" s="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9"/>
      <c r="B465" s="9"/>
      <c r="C465" s="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9"/>
      <c r="B466" s="9"/>
      <c r="C466" s="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9"/>
      <c r="B467" s="9"/>
      <c r="C467" s="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9"/>
      <c r="B468" s="9"/>
      <c r="C468" s="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9"/>
      <c r="B469" s="9"/>
      <c r="C469" s="9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9"/>
      <c r="B470" s="9"/>
      <c r="C470" s="9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9"/>
      <c r="B471" s="9"/>
      <c r="C471" s="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9"/>
      <c r="B472" s="9"/>
      <c r="C472" s="9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9"/>
      <c r="B473" s="9"/>
      <c r="C473" s="9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9"/>
      <c r="B474" s="9"/>
      <c r="C474" s="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9"/>
      <c r="B475" s="9"/>
      <c r="C475" s="9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9"/>
      <c r="B476" s="9"/>
      <c r="C476" s="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9"/>
      <c r="B477" s="9"/>
      <c r="C477" s="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9"/>
      <c r="B478" s="9"/>
      <c r="C478" s="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9"/>
      <c r="B479" s="9"/>
      <c r="C479" s="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9"/>
      <c r="B480" s="9"/>
      <c r="C480" s="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9"/>
      <c r="B481" s="9"/>
      <c r="C481" s="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9"/>
      <c r="B482" s="9"/>
      <c r="C482" s="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9"/>
      <c r="B483" s="9"/>
      <c r="C483" s="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9"/>
      <c r="B484" s="9"/>
      <c r="C484" s="9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9"/>
      <c r="B485" s="9"/>
      <c r="C485" s="9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9"/>
      <c r="B486" s="9"/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9"/>
      <c r="B487" s="9"/>
      <c r="C487" s="9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9"/>
      <c r="B488" s="9"/>
      <c r="C488" s="9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9"/>
      <c r="B489" s="9"/>
      <c r="C489" s="9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9"/>
      <c r="B490" s="9"/>
      <c r="C490" s="9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9"/>
      <c r="B491" s="9"/>
      <c r="C491" s="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9"/>
      <c r="B492" s="9"/>
      <c r="C492" s="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9"/>
      <c r="B493" s="9"/>
      <c r="C493" s="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9"/>
      <c r="B494" s="9"/>
      <c r="C494" s="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9"/>
      <c r="B495" s="9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9"/>
      <c r="B496" s="9"/>
      <c r="C496" s="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9"/>
      <c r="B497" s="9"/>
      <c r="C497" s="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9"/>
      <c r="B498" s="9"/>
      <c r="C498" s="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9"/>
      <c r="B499" s="9"/>
      <c r="C499" s="9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9"/>
      <c r="B500" s="9"/>
      <c r="C500" s="9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9"/>
      <c r="B501" s="9"/>
      <c r="C501" s="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9"/>
      <c r="B502" s="9"/>
      <c r="C502" s="9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9"/>
      <c r="B503" s="9"/>
      <c r="C503" s="9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9"/>
      <c r="B504" s="9"/>
      <c r="C504" s="9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9"/>
      <c r="B505" s="9"/>
      <c r="C505" s="9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9"/>
      <c r="B506" s="9"/>
      <c r="C506" s="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9"/>
      <c r="B507" s="9"/>
      <c r="C507" s="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9"/>
      <c r="B508" s="9"/>
      <c r="C508" s="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9"/>
      <c r="B509" s="9"/>
      <c r="C509" s="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9"/>
      <c r="B510" s="9"/>
      <c r="C510" s="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9"/>
      <c r="B511" s="9"/>
      <c r="C511" s="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9"/>
      <c r="B512" s="9"/>
      <c r="C512" s="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9"/>
      <c r="B513" s="9"/>
      <c r="C513" s="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9"/>
      <c r="B514" s="9"/>
      <c r="C514" s="9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9"/>
      <c r="B515" s="9"/>
      <c r="C515" s="9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9"/>
      <c r="B516" s="9"/>
      <c r="C516" s="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9"/>
      <c r="B517" s="9"/>
      <c r="C517" s="9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9"/>
      <c r="B518" s="9"/>
      <c r="C518" s="9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9"/>
      <c r="B519" s="9"/>
      <c r="C519" s="9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9"/>
      <c r="B520" s="9"/>
      <c r="C520" s="9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9"/>
      <c r="B521" s="9"/>
      <c r="C521" s="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9"/>
      <c r="B522" s="9"/>
      <c r="C522" s="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9"/>
      <c r="B523" s="9"/>
      <c r="C523" s="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9"/>
      <c r="B524" s="9"/>
      <c r="C524" s="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9"/>
      <c r="B525" s="9"/>
      <c r="C525" s="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9"/>
      <c r="B526" s="9"/>
      <c r="C526" s="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9"/>
      <c r="B527" s="9"/>
      <c r="C527" s="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9"/>
      <c r="B528" s="9"/>
      <c r="C528" s="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9"/>
      <c r="B529" s="9"/>
      <c r="C529" s="9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9"/>
      <c r="B530" s="9"/>
      <c r="C530" s="9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9"/>
      <c r="B531" s="9"/>
      <c r="C531" s="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9"/>
      <c r="B532" s="9"/>
      <c r="C532" s="9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9"/>
      <c r="B533" s="9"/>
      <c r="C533" s="9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9"/>
      <c r="B534" s="9"/>
      <c r="C534" s="9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9"/>
      <c r="B535" s="9"/>
      <c r="C535" s="9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9"/>
      <c r="B536" s="9"/>
      <c r="C536" s="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9"/>
      <c r="B537" s="9"/>
      <c r="C537" s="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9"/>
      <c r="B538" s="9"/>
      <c r="C538" s="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9"/>
      <c r="B539" s="9"/>
      <c r="C539" s="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9"/>
      <c r="B540" s="9"/>
      <c r="C540" s="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9"/>
      <c r="B541" s="9"/>
      <c r="C541" s="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9"/>
      <c r="B542" s="9"/>
      <c r="C542" s="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9"/>
      <c r="B543" s="9"/>
      <c r="C543" s="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9"/>
      <c r="B544" s="9"/>
      <c r="C544" s="9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9"/>
      <c r="B545" s="9"/>
      <c r="C545" s="9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9"/>
      <c r="B546" s="9"/>
      <c r="C546" s="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9"/>
      <c r="B547" s="9"/>
      <c r="C547" s="9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9"/>
      <c r="B548" s="9"/>
      <c r="C548" s="9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9"/>
      <c r="B549" s="9"/>
      <c r="C549" s="9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9"/>
      <c r="B550" s="9"/>
      <c r="C550" s="9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9"/>
      <c r="B551" s="9"/>
      <c r="C551" s="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9"/>
      <c r="B552" s="9"/>
      <c r="C552" s="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9"/>
      <c r="B553" s="9"/>
      <c r="C553" s="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9"/>
      <c r="B554" s="9"/>
      <c r="C554" s="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9"/>
      <c r="B555" s="9"/>
      <c r="C555" s="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9"/>
      <c r="B556" s="9"/>
      <c r="C556" s="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9"/>
      <c r="B557" s="9"/>
      <c r="C557" s="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9"/>
      <c r="B558" s="9"/>
      <c r="C558" s="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9"/>
      <c r="B559" s="9"/>
      <c r="C559" s="9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9"/>
      <c r="B560" s="9"/>
      <c r="C560" s="9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9"/>
      <c r="B561" s="9"/>
      <c r="C561" s="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9"/>
      <c r="B562" s="9"/>
      <c r="C562" s="9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9"/>
      <c r="B563" s="9"/>
      <c r="C563" s="9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9"/>
      <c r="B564" s="9"/>
      <c r="C564" s="9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9"/>
      <c r="B565" s="9"/>
      <c r="C565" s="9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9"/>
      <c r="B566" s="9"/>
      <c r="C566" s="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9"/>
      <c r="B567" s="9"/>
      <c r="C567" s="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9"/>
      <c r="B568" s="9"/>
      <c r="C568" s="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9"/>
      <c r="B569" s="9"/>
      <c r="C569" s="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9"/>
      <c r="B570" s="9"/>
      <c r="C570" s="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9"/>
      <c r="B571" s="9"/>
      <c r="C571" s="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9"/>
      <c r="B572" s="9"/>
      <c r="C572" s="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9"/>
      <c r="B573" s="9"/>
      <c r="C573" s="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9"/>
      <c r="B574" s="9"/>
      <c r="C574" s="9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9"/>
      <c r="B575" s="9"/>
      <c r="C575" s="9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9"/>
      <c r="B576" s="9"/>
      <c r="C576" s="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9"/>
      <c r="B577" s="9"/>
      <c r="C577" s="9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9"/>
      <c r="B578" s="9"/>
      <c r="C578" s="9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9"/>
      <c r="B579" s="9"/>
      <c r="C579" s="9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9"/>
      <c r="B580" s="9"/>
      <c r="C580" s="9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9"/>
      <c r="B581" s="9"/>
      <c r="C581" s="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9"/>
      <c r="B582" s="9"/>
      <c r="C582" s="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9"/>
      <c r="B583" s="9"/>
      <c r="C583" s="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9"/>
      <c r="B584" s="9"/>
      <c r="C584" s="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9"/>
      <c r="B585" s="9"/>
      <c r="C585" s="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9"/>
      <c r="B586" s="9"/>
      <c r="C586" s="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9"/>
      <c r="B587" s="9"/>
      <c r="C587" s="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9"/>
      <c r="B588" s="9"/>
      <c r="C588" s="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9"/>
      <c r="B589" s="9"/>
      <c r="C589" s="9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9"/>
      <c r="B590" s="9"/>
      <c r="C590" s="9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9"/>
      <c r="B591" s="9"/>
      <c r="C591" s="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9"/>
      <c r="B592" s="9"/>
      <c r="C592" s="9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9"/>
      <c r="B593" s="9"/>
      <c r="C593" s="9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9"/>
      <c r="B594" s="9"/>
      <c r="C594" s="9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9"/>
      <c r="B595" s="9"/>
      <c r="C595" s="9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9"/>
      <c r="B596" s="9"/>
      <c r="C596" s="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9"/>
      <c r="B597" s="9"/>
      <c r="C597" s="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9"/>
      <c r="B598" s="9"/>
      <c r="C598" s="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9"/>
      <c r="B599" s="9"/>
      <c r="C599" s="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9"/>
      <c r="B600" s="9"/>
      <c r="C600" s="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9"/>
      <c r="B601" s="9"/>
      <c r="C601" s="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9"/>
      <c r="B602" s="9"/>
      <c r="C602" s="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9"/>
      <c r="B603" s="9"/>
      <c r="C603" s="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9"/>
      <c r="B604" s="9"/>
      <c r="C604" s="9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9"/>
      <c r="B605" s="9"/>
      <c r="C605" s="9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9"/>
      <c r="B606" s="9"/>
      <c r="C606" s="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9"/>
      <c r="B607" s="9"/>
      <c r="C607" s="9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9"/>
      <c r="B608" s="9"/>
      <c r="C608" s="9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9"/>
      <c r="B609" s="9"/>
      <c r="C609" s="9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9"/>
      <c r="B610" s="9"/>
      <c r="C610" s="9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9"/>
      <c r="B611" s="9"/>
      <c r="C611" s="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9"/>
      <c r="B612" s="9"/>
      <c r="C612" s="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9"/>
      <c r="B613" s="9"/>
      <c r="C613" s="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9"/>
      <c r="B614" s="9"/>
      <c r="C614" s="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9"/>
      <c r="B615" s="9"/>
      <c r="C615" s="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9"/>
      <c r="B616" s="9"/>
      <c r="C616" s="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9"/>
      <c r="B617" s="9"/>
      <c r="C617" s="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9"/>
      <c r="B618" s="9"/>
      <c r="C618" s="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9"/>
      <c r="B619" s="9"/>
      <c r="C619" s="9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9"/>
      <c r="B620" s="9"/>
      <c r="C620" s="9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9"/>
      <c r="B621" s="9"/>
      <c r="C621" s="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9"/>
      <c r="B622" s="9"/>
      <c r="C622" s="9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9"/>
      <c r="B623" s="9"/>
      <c r="C623" s="9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9"/>
      <c r="B624" s="9"/>
      <c r="C624" s="9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9"/>
      <c r="B625" s="9"/>
      <c r="C625" s="9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9"/>
      <c r="B626" s="9"/>
      <c r="C626" s="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9"/>
      <c r="B627" s="9"/>
      <c r="C627" s="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9"/>
      <c r="B628" s="9"/>
      <c r="C628" s="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9"/>
      <c r="B629" s="9"/>
      <c r="C629" s="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9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9"/>
      <c r="B631" s="9"/>
      <c r="C631" s="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9"/>
      <c r="B632" s="9"/>
      <c r="C632" s="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9"/>
      <c r="B633" s="9"/>
      <c r="C633" s="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9"/>
      <c r="B634" s="9"/>
      <c r="C634" s="9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9"/>
      <c r="B635" s="9"/>
      <c r="C635" s="9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9"/>
      <c r="B636" s="9"/>
      <c r="C636" s="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9"/>
      <c r="B637" s="9"/>
      <c r="C637" s="9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9"/>
      <c r="B638" s="9"/>
      <c r="C638" s="9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9"/>
      <c r="B639" s="9"/>
      <c r="C639" s="9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9"/>
      <c r="B640" s="9"/>
      <c r="C640" s="9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9"/>
      <c r="B641" s="9"/>
      <c r="C641" s="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9"/>
      <c r="B642" s="9"/>
      <c r="C642" s="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9"/>
      <c r="B643" s="9"/>
      <c r="C643" s="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9"/>
      <c r="B644" s="9"/>
      <c r="C644" s="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9"/>
      <c r="B645" s="9"/>
      <c r="C645" s="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9"/>
      <c r="B646" s="9"/>
      <c r="C646" s="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9"/>
      <c r="B647" s="9"/>
      <c r="C647" s="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9"/>
      <c r="B649" s="9"/>
      <c r="C649" s="9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9"/>
      <c r="B650" s="9"/>
      <c r="C650" s="9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9"/>
      <c r="B651" s="9"/>
      <c r="C651" s="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9"/>
      <c r="B652" s="9"/>
      <c r="C652" s="9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9"/>
      <c r="B653" s="9"/>
      <c r="C653" s="9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9"/>
      <c r="B654" s="9"/>
      <c r="C654" s="9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9"/>
      <c r="B655" s="9"/>
      <c r="C655" s="9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9"/>
      <c r="B656" s="9"/>
      <c r="C656" s="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9"/>
      <c r="B657" s="9"/>
      <c r="C657" s="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9"/>
      <c r="B658" s="9"/>
      <c r="C658" s="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9"/>
      <c r="B659" s="9"/>
      <c r="C659" s="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9"/>
      <c r="B660" s="9"/>
      <c r="C660" s="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9"/>
      <c r="B661" s="9"/>
      <c r="C661" s="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9"/>
      <c r="B662" s="9"/>
      <c r="C662" s="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9"/>
      <c r="B663" s="9"/>
      <c r="C663" s="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9"/>
      <c r="B664" s="9"/>
      <c r="C664" s="9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9"/>
      <c r="B665" s="9"/>
      <c r="C665" s="9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9"/>
      <c r="B666" s="9"/>
      <c r="C666" s="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9"/>
      <c r="B667" s="9"/>
      <c r="C667" s="9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9"/>
      <c r="B668" s="9"/>
      <c r="C668" s="9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9"/>
      <c r="B669" s="9"/>
      <c r="C669" s="9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9"/>
      <c r="B670" s="9"/>
      <c r="C670" s="9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9"/>
      <c r="B671" s="9"/>
      <c r="C671" s="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9"/>
      <c r="B672" s="9"/>
      <c r="C672" s="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9"/>
      <c r="B673" s="9"/>
      <c r="C673" s="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9"/>
      <c r="B674" s="9"/>
      <c r="C674" s="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9"/>
      <c r="B675" s="9"/>
      <c r="C675" s="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9"/>
      <c r="B676" s="9"/>
      <c r="C676" s="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9"/>
      <c r="B677" s="9"/>
      <c r="C677" s="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9"/>
      <c r="B678" s="9"/>
      <c r="C678" s="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9"/>
      <c r="B679" s="9"/>
      <c r="C679" s="9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9"/>
      <c r="B680" s="9"/>
      <c r="C680" s="9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9"/>
      <c r="B681" s="9"/>
      <c r="C681" s="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9"/>
      <c r="B682" s="9"/>
      <c r="C682" s="9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9"/>
      <c r="B683" s="9"/>
      <c r="C683" s="9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9"/>
      <c r="B684" s="9"/>
      <c r="C684" s="9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9"/>
      <c r="B685" s="9"/>
      <c r="C685" s="9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9"/>
      <c r="B686" s="9"/>
      <c r="C686" s="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9"/>
      <c r="B687" s="9"/>
      <c r="C687" s="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9"/>
      <c r="B688" s="9"/>
      <c r="C688" s="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9"/>
      <c r="B689" s="9"/>
      <c r="C689" s="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9"/>
      <c r="B690" s="9"/>
      <c r="C690" s="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9"/>
      <c r="B691" s="9"/>
      <c r="C691" s="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9"/>
      <c r="B692" s="9"/>
      <c r="C692" s="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9"/>
      <c r="B693" s="9"/>
      <c r="C693" s="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9"/>
      <c r="B694" s="9"/>
      <c r="C694" s="9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9"/>
      <c r="B695" s="9"/>
      <c r="C695" s="9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9"/>
      <c r="B696" s="9"/>
      <c r="C696" s="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9"/>
      <c r="B697" s="9"/>
      <c r="C697" s="9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9"/>
      <c r="B698" s="9"/>
      <c r="C698" s="9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9"/>
      <c r="B699" s="9"/>
      <c r="C699" s="9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9"/>
      <c r="B700" s="9"/>
      <c r="C700" s="9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9"/>
      <c r="B701" s="9"/>
      <c r="C701" s="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9"/>
      <c r="B702" s="9"/>
      <c r="C702" s="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9"/>
      <c r="B703" s="9"/>
      <c r="C703" s="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9"/>
      <c r="B704" s="9"/>
      <c r="C704" s="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9"/>
      <c r="B705" s="9"/>
      <c r="C705" s="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9"/>
      <c r="B706" s="9"/>
      <c r="C706" s="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9"/>
      <c r="B707" s="9"/>
      <c r="C707" s="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9"/>
      <c r="B708" s="9"/>
      <c r="C708" s="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9"/>
      <c r="B709" s="9"/>
      <c r="C709" s="9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9"/>
      <c r="B710" s="9"/>
      <c r="C710" s="9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9"/>
      <c r="B711" s="9"/>
      <c r="C711" s="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9"/>
      <c r="B712" s="9"/>
      <c r="C712" s="9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9"/>
      <c r="B713" s="9"/>
      <c r="C713" s="9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9"/>
      <c r="B714" s="9"/>
      <c r="C714" s="9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9"/>
      <c r="B715" s="9"/>
      <c r="C715" s="9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9"/>
      <c r="B716" s="9"/>
      <c r="C716" s="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9"/>
      <c r="B717" s="9"/>
      <c r="C717" s="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9"/>
      <c r="B718" s="9"/>
      <c r="C718" s="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9"/>
      <c r="B719" s="9"/>
      <c r="C719" s="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9"/>
      <c r="B720" s="9"/>
      <c r="C720" s="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9"/>
      <c r="B721" s="9"/>
      <c r="C721" s="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9"/>
      <c r="B722" s="9"/>
      <c r="C722" s="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9"/>
      <c r="B723" s="9"/>
      <c r="C723" s="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9"/>
      <c r="B724" s="9"/>
      <c r="C724" s="9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9"/>
      <c r="B725" s="9"/>
      <c r="C725" s="9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9"/>
      <c r="B726" s="9"/>
      <c r="C726" s="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9"/>
      <c r="B727" s="9"/>
      <c r="C727" s="9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9"/>
      <c r="B728" s="9"/>
      <c r="C728" s="9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9"/>
      <c r="B729" s="9"/>
      <c r="C729" s="9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9"/>
      <c r="B730" s="9"/>
      <c r="C730" s="9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9"/>
      <c r="B731" s="9"/>
      <c r="C731" s="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9"/>
      <c r="B732" s="9"/>
      <c r="C732" s="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9"/>
      <c r="B733" s="9"/>
      <c r="C733" s="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9"/>
      <c r="B734" s="9"/>
      <c r="C734" s="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9"/>
      <c r="B735" s="9"/>
      <c r="C735" s="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9"/>
      <c r="B736" s="9"/>
      <c r="C736" s="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9"/>
      <c r="B737" s="9"/>
      <c r="C737" s="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9"/>
      <c r="B738" s="9"/>
      <c r="C738" s="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9"/>
      <c r="B739" s="9"/>
      <c r="C739" s="9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9"/>
      <c r="B740" s="9"/>
      <c r="C740" s="9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9"/>
      <c r="B741" s="9"/>
      <c r="C741" s="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9"/>
      <c r="B742" s="9"/>
      <c r="C742" s="9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9"/>
      <c r="B743" s="9"/>
      <c r="C743" s="9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9"/>
      <c r="B744" s="9"/>
      <c r="C744" s="9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9"/>
      <c r="B745" s="9"/>
      <c r="C745" s="9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9"/>
      <c r="B746" s="9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9"/>
      <c r="B747" s="9"/>
      <c r="C747" s="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9"/>
      <c r="B748" s="9"/>
      <c r="C748" s="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9"/>
      <c r="B749" s="9"/>
      <c r="C749" s="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9"/>
      <c r="B750" s="9"/>
      <c r="C750" s="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9"/>
      <c r="B751" s="9"/>
      <c r="C751" s="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9"/>
      <c r="B752" s="9"/>
      <c r="C752" s="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9"/>
      <c r="B753" s="9"/>
      <c r="C753" s="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9"/>
      <c r="B754" s="9"/>
      <c r="C754" s="9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9"/>
      <c r="B755" s="9"/>
      <c r="C755" s="9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9"/>
      <c r="B756" s="9"/>
      <c r="C756" s="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9"/>
      <c r="B757" s="9"/>
      <c r="C757" s="9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9"/>
      <c r="B758" s="9"/>
      <c r="C758" s="9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9"/>
      <c r="B759" s="9"/>
      <c r="C759" s="9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9"/>
      <c r="B760" s="9"/>
      <c r="C760" s="9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9"/>
      <c r="B761" s="9"/>
      <c r="C761" s="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9"/>
      <c r="B762" s="9"/>
      <c r="C762" s="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9"/>
      <c r="B763" s="9"/>
      <c r="C763" s="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9"/>
      <c r="B764" s="9"/>
      <c r="C764" s="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9"/>
      <c r="B765" s="9"/>
      <c r="C765" s="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9"/>
      <c r="B766" s="9"/>
      <c r="C766" s="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9"/>
      <c r="B767" s="9"/>
      <c r="C767" s="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9"/>
      <c r="B768" s="9"/>
      <c r="C768" s="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9"/>
      <c r="B769" s="9"/>
      <c r="C769" s="9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9"/>
      <c r="B770" s="9"/>
      <c r="C770" s="9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9"/>
      <c r="B771" s="9"/>
      <c r="C771" s="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9"/>
      <c r="B772" s="9"/>
      <c r="C772" s="9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9"/>
      <c r="B773" s="9"/>
      <c r="C773" s="9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9"/>
      <c r="B774" s="9"/>
      <c r="C774" s="9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9"/>
      <c r="B775" s="9"/>
      <c r="C775" s="9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9"/>
      <c r="B776" s="9"/>
      <c r="C776" s="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9"/>
      <c r="B777" s="9"/>
      <c r="C777" s="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9"/>
      <c r="B778" s="9"/>
      <c r="C778" s="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9"/>
      <c r="B779" s="9"/>
      <c r="C779" s="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9"/>
      <c r="B780" s="9"/>
      <c r="C780" s="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9"/>
      <c r="B781" s="9"/>
      <c r="C781" s="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9"/>
      <c r="B782" s="9"/>
      <c r="C782" s="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9"/>
      <c r="B783" s="9"/>
      <c r="C783" s="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9"/>
      <c r="B784" s="9"/>
      <c r="C784" s="9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9"/>
      <c r="B785" s="9"/>
      <c r="C785" s="9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9"/>
      <c r="B786" s="9"/>
      <c r="C786" s="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9"/>
      <c r="B787" s="9"/>
      <c r="C787" s="9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9"/>
      <c r="B788" s="9"/>
      <c r="C788" s="9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9"/>
      <c r="B789" s="9"/>
      <c r="C789" s="9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9"/>
      <c r="B790" s="9"/>
      <c r="C790" s="9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9"/>
      <c r="B791" s="9"/>
      <c r="C791" s="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9"/>
      <c r="B792" s="9"/>
      <c r="C792" s="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9"/>
      <c r="B793" s="9"/>
      <c r="C793" s="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9"/>
      <c r="B794" s="9"/>
      <c r="C794" s="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9"/>
      <c r="B795" s="9"/>
      <c r="C795" s="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9"/>
      <c r="B796" s="9"/>
      <c r="C796" s="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9"/>
      <c r="B797" s="9"/>
      <c r="C797" s="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9"/>
      <c r="B798" s="9"/>
      <c r="C798" s="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9"/>
      <c r="B799" s="9"/>
      <c r="C799" s="9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9"/>
      <c r="B800" s="9"/>
      <c r="C800" s="9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9"/>
      <c r="B801" s="9"/>
      <c r="C801" s="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9"/>
      <c r="B802" s="9"/>
      <c r="C802" s="9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9"/>
      <c r="B803" s="9"/>
      <c r="C803" s="9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9"/>
      <c r="B804" s="9"/>
      <c r="C804" s="9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9"/>
      <c r="B805" s="9"/>
      <c r="C805" s="9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9"/>
      <c r="B806" s="9"/>
      <c r="C806" s="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9"/>
      <c r="B807" s="9"/>
      <c r="C807" s="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9"/>
      <c r="B808" s="9"/>
      <c r="C808" s="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9"/>
      <c r="B809" s="9"/>
      <c r="C809" s="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9"/>
      <c r="B810" s="9"/>
      <c r="C810" s="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9"/>
      <c r="B811" s="9"/>
      <c r="C811" s="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9"/>
      <c r="B812" s="9"/>
      <c r="C812" s="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9"/>
      <c r="B813" s="9"/>
      <c r="C813" s="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9"/>
      <c r="B814" s="9"/>
      <c r="C814" s="9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9"/>
      <c r="B815" s="9"/>
      <c r="C815" s="9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9"/>
      <c r="B816" s="9"/>
      <c r="C816" s="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9"/>
      <c r="B817" s="9"/>
      <c r="C817" s="9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9"/>
      <c r="B818" s="9"/>
      <c r="C818" s="9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9"/>
      <c r="B819" s="9"/>
      <c r="C819" s="9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9"/>
      <c r="B820" s="9"/>
      <c r="C820" s="9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9"/>
      <c r="B821" s="9"/>
      <c r="C821" s="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9"/>
      <c r="B822" s="9"/>
      <c r="C822" s="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9"/>
      <c r="B823" s="9"/>
      <c r="C823" s="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9"/>
      <c r="B824" s="9"/>
      <c r="C824" s="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9"/>
      <c r="B825" s="9"/>
      <c r="C825" s="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9"/>
      <c r="B826" s="9"/>
      <c r="C826" s="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9"/>
      <c r="B827" s="9"/>
      <c r="C827" s="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9"/>
      <c r="B828" s="9"/>
      <c r="C828" s="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9"/>
      <c r="B829" s="9"/>
      <c r="C829" s="9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9"/>
      <c r="B830" s="9"/>
      <c r="C830" s="9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9"/>
      <c r="B831" s="9"/>
      <c r="C831" s="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9"/>
      <c r="B832" s="9"/>
      <c r="C832" s="9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9"/>
      <c r="B833" s="9"/>
      <c r="C833" s="9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9"/>
      <c r="B834" s="9"/>
      <c r="C834" s="9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9"/>
      <c r="B835" s="9"/>
      <c r="C835" s="9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9"/>
      <c r="B836" s="9"/>
      <c r="C836" s="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9"/>
      <c r="B837" s="9"/>
      <c r="C837" s="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9"/>
      <c r="B838" s="9"/>
      <c r="C838" s="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9"/>
      <c r="B839" s="9"/>
      <c r="C839" s="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9"/>
      <c r="B840" s="9"/>
      <c r="C840" s="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9"/>
      <c r="B841" s="9"/>
      <c r="C841" s="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9"/>
      <c r="B842" s="9"/>
      <c r="C842" s="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9"/>
      <c r="B843" s="9"/>
      <c r="C843" s="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9"/>
      <c r="B844" s="9"/>
      <c r="C844" s="9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9"/>
      <c r="B845" s="9"/>
      <c r="C845" s="9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9"/>
      <c r="B846" s="9"/>
      <c r="C846" s="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9"/>
      <c r="B847" s="9"/>
      <c r="C847" s="9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9"/>
      <c r="B848" s="9"/>
      <c r="C848" s="9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9"/>
      <c r="B849" s="9"/>
      <c r="C849" s="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9"/>
      <c r="B850" s="9"/>
      <c r="C850" s="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9"/>
      <c r="B851" s="9"/>
      <c r="C851" s="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9"/>
      <c r="B852" s="9"/>
      <c r="C852" s="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9"/>
      <c r="B853" s="9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9"/>
      <c r="B854" s="9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9"/>
      <c r="B855" s="9"/>
      <c r="C855" s="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9"/>
      <c r="B856" s="9"/>
      <c r="C856" s="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9"/>
      <c r="B857" s="9"/>
      <c r="C857" s="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9"/>
      <c r="B858" s="9"/>
      <c r="C858" s="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9"/>
      <c r="B859" s="9"/>
      <c r="C859" s="9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9"/>
      <c r="B860" s="9"/>
      <c r="C860" s="9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9"/>
      <c r="B861" s="9"/>
      <c r="C861" s="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9"/>
      <c r="B862" s="9"/>
      <c r="C862" s="9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9"/>
      <c r="B863" s="9"/>
      <c r="C863" s="9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9"/>
      <c r="B864" s="9"/>
      <c r="C864" s="9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9"/>
      <c r="B865" s="9"/>
      <c r="C865" s="9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9"/>
      <c r="B866" s="9"/>
      <c r="C866" s="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9"/>
      <c r="B867" s="9"/>
      <c r="C867" s="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9"/>
      <c r="B868" s="9"/>
      <c r="C868" s="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9"/>
      <c r="B869" s="9"/>
      <c r="C869" s="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9"/>
      <c r="B870" s="9"/>
      <c r="C870" s="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9"/>
      <c r="B871" s="9"/>
      <c r="C871" s="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9"/>
      <c r="B872" s="9"/>
      <c r="C872" s="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9"/>
      <c r="B873" s="9"/>
      <c r="C873" s="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9"/>
      <c r="B874" s="9"/>
      <c r="C874" s="9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9"/>
      <c r="B875" s="9"/>
      <c r="C875" s="9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9"/>
      <c r="B876" s="9"/>
      <c r="C876" s="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9"/>
      <c r="B877" s="9"/>
      <c r="C877" s="9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9"/>
      <c r="B878" s="9"/>
      <c r="C878" s="9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9"/>
      <c r="B879" s="9"/>
      <c r="C879" s="9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9"/>
      <c r="B880" s="9"/>
      <c r="C880" s="9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9"/>
      <c r="B881" s="9"/>
      <c r="C881" s="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9"/>
      <c r="B882" s="9"/>
      <c r="C882" s="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9"/>
      <c r="B883" s="9"/>
      <c r="C883" s="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9"/>
      <c r="B884" s="9"/>
      <c r="C884" s="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9"/>
      <c r="B885" s="9"/>
      <c r="C885" s="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9"/>
      <c r="B886" s="9"/>
      <c r="C886" s="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9"/>
      <c r="B887" s="9"/>
      <c r="C887" s="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9"/>
      <c r="B888" s="9"/>
      <c r="C888" s="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9"/>
      <c r="B889" s="9"/>
      <c r="C889" s="9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9"/>
      <c r="B890" s="9"/>
      <c r="C890" s="9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9"/>
      <c r="B891" s="9"/>
      <c r="C891" s="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9"/>
      <c r="B892" s="9"/>
      <c r="C892" s="9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9"/>
      <c r="B893" s="9"/>
      <c r="C893" s="9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9"/>
      <c r="B894" s="9"/>
      <c r="C894" s="9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9"/>
      <c r="B895" s="9"/>
      <c r="C895" s="9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9"/>
      <c r="B896" s="9"/>
      <c r="C896" s="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9"/>
      <c r="B897" s="9"/>
      <c r="C897" s="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9"/>
      <c r="B898" s="9"/>
      <c r="C898" s="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9"/>
      <c r="B899" s="9"/>
      <c r="C899" s="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9"/>
      <c r="B900" s="9"/>
      <c r="C900" s="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9"/>
      <c r="B901" s="9"/>
      <c r="C901" s="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9"/>
      <c r="B902" s="9"/>
      <c r="C902" s="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9"/>
      <c r="B903" s="9"/>
      <c r="C903" s="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9"/>
      <c r="B904" s="9"/>
      <c r="C904" s="9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9"/>
      <c r="B905" s="9"/>
      <c r="C905" s="9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9"/>
      <c r="B906" s="9"/>
      <c r="C906" s="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9"/>
      <c r="B907" s="9"/>
      <c r="C907" s="9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9"/>
      <c r="B908" s="9"/>
      <c r="C908" s="9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9"/>
      <c r="B909" s="9"/>
      <c r="C909" s="9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9"/>
      <c r="B910" s="9"/>
      <c r="C910" s="9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9"/>
      <c r="B911" s="9"/>
      <c r="C911" s="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9"/>
      <c r="B912" s="9"/>
      <c r="C912" s="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9"/>
      <c r="B913" s="9"/>
      <c r="C913" s="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9"/>
      <c r="B914" s="9"/>
      <c r="C914" s="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9"/>
      <c r="B915" s="9"/>
      <c r="C915" s="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9"/>
      <c r="B916" s="9"/>
      <c r="C916" s="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9"/>
      <c r="B917" s="9"/>
      <c r="C917" s="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9"/>
      <c r="B918" s="9"/>
      <c r="C918" s="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9"/>
      <c r="B919" s="9"/>
      <c r="C919" s="9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9"/>
      <c r="B920" s="9"/>
      <c r="C920" s="9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9"/>
      <c r="B921" s="9"/>
      <c r="C921" s="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9"/>
      <c r="B922" s="9"/>
      <c r="C922" s="9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9"/>
      <c r="B923" s="9"/>
      <c r="C923" s="9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9"/>
      <c r="B924" s="9"/>
      <c r="C924" s="9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9"/>
      <c r="B925" s="9"/>
      <c r="C925" s="9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9"/>
      <c r="B926" s="9"/>
      <c r="C926" s="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9"/>
      <c r="B927" s="9"/>
      <c r="C927" s="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9"/>
      <c r="B928" s="9"/>
      <c r="C928" s="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9"/>
      <c r="B929" s="9"/>
      <c r="C929" s="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9"/>
      <c r="B930" s="9"/>
      <c r="C930" s="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9"/>
      <c r="B931" s="9"/>
      <c r="C931" s="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9"/>
      <c r="B932" s="9"/>
      <c r="C932" s="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9"/>
      <c r="B933" s="9"/>
      <c r="C933" s="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9"/>
      <c r="B934" s="9"/>
      <c r="C934" s="9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9"/>
      <c r="B935" s="9"/>
      <c r="C935" s="9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9"/>
      <c r="B936" s="9"/>
      <c r="C936" s="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9"/>
      <c r="B937" s="9"/>
      <c r="C937" s="9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9"/>
      <c r="B938" s="9"/>
      <c r="C938" s="9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9"/>
      <c r="B939" s="9"/>
      <c r="C939" s="9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9"/>
      <c r="B940" s="9"/>
      <c r="C940" s="9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9"/>
      <c r="B941" s="9"/>
      <c r="C941" s="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9"/>
      <c r="B942" s="9"/>
      <c r="C942" s="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9"/>
      <c r="B943" s="9"/>
      <c r="C943" s="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9"/>
      <c r="B944" s="9"/>
      <c r="C944" s="9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9"/>
      <c r="B945" s="9"/>
      <c r="C945" s="9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9"/>
      <c r="B946" s="9"/>
      <c r="C946" s="9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9"/>
      <c r="B947" s="9"/>
      <c r="C947" s="9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9"/>
      <c r="B948" s="9"/>
      <c r="C948" s="9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9"/>
      <c r="B949" s="9"/>
      <c r="C949" s="9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9"/>
      <c r="B950" s="9"/>
      <c r="C950" s="9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9"/>
      <c r="B951" s="9"/>
      <c r="C951" s="9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9"/>
      <c r="B952" s="9"/>
      <c r="C952" s="9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9"/>
      <c r="B953" s="9"/>
      <c r="C953" s="9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9"/>
      <c r="B954" s="9"/>
      <c r="C954" s="9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9"/>
      <c r="B955" s="9"/>
      <c r="C955" s="9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9"/>
      <c r="B956" s="9"/>
      <c r="C956" s="9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9"/>
      <c r="B957" s="9"/>
      <c r="C957" s="9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9"/>
      <c r="B958" s="9"/>
      <c r="C958" s="9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9"/>
      <c r="B959" s="9"/>
      <c r="C959" s="9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9"/>
      <c r="B960" s="9"/>
      <c r="C960" s="9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9"/>
      <c r="B961" s="9"/>
      <c r="C961" s="9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9"/>
      <c r="B962" s="9"/>
      <c r="C962" s="9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9"/>
      <c r="B963" s="9"/>
      <c r="C963" s="9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9"/>
      <c r="B964" s="9"/>
      <c r="C964" s="9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9"/>
      <c r="B965" s="9"/>
      <c r="C965" s="9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9"/>
      <c r="B966" s="9"/>
      <c r="C966" s="9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9"/>
      <c r="B967" s="9"/>
      <c r="C967" s="9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9"/>
      <c r="B968" s="9"/>
      <c r="C968" s="9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9"/>
      <c r="B969" s="9"/>
      <c r="C969" s="9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9"/>
      <c r="B970" s="9"/>
      <c r="C970" s="9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9"/>
      <c r="B971" s="9"/>
      <c r="C971" s="9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9"/>
      <c r="B972" s="9"/>
      <c r="C972" s="9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9"/>
      <c r="B973" s="9"/>
      <c r="C973" s="9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9"/>
      <c r="B974" s="9"/>
      <c r="C974" s="9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9"/>
      <c r="B975" s="9"/>
      <c r="C975" s="9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9"/>
      <c r="B976" s="9"/>
      <c r="C976" s="9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9"/>
      <c r="B977" s="9"/>
      <c r="C977" s="9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9"/>
      <c r="B978" s="9"/>
      <c r="C978" s="9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9"/>
      <c r="B979" s="9"/>
      <c r="C979" s="9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9"/>
      <c r="B980" s="9"/>
      <c r="C980" s="9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9"/>
      <c r="B981" s="9"/>
      <c r="C981" s="9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9"/>
      <c r="B982" s="9"/>
      <c r="C982" s="9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9"/>
      <c r="B983" s="9"/>
      <c r="C983" s="9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9"/>
      <c r="B984" s="9"/>
      <c r="C984" s="9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9"/>
      <c r="B985" s="9"/>
      <c r="C985" s="9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9"/>
      <c r="B986" s="9"/>
      <c r="C986" s="9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9"/>
      <c r="B987" s="9"/>
      <c r="C987" s="9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9"/>
      <c r="B988" s="9"/>
      <c r="C988" s="9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9"/>
      <c r="B989" s="9"/>
      <c r="C989" s="9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9"/>
      <c r="B990" s="9"/>
      <c r="C990" s="9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9"/>
      <c r="B991" s="9"/>
      <c r="C991" s="9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9"/>
      <c r="B992" s="9"/>
      <c r="C992" s="9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9"/>
      <c r="B993" s="9"/>
      <c r="C993" s="9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9"/>
      <c r="B994" s="9"/>
      <c r="C994" s="9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9"/>
      <c r="B995" s="9"/>
      <c r="C995" s="9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9"/>
      <c r="B996" s="9"/>
      <c r="C996" s="9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9"/>
      <c r="B997" s="9"/>
      <c r="C997" s="9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9"/>
      <c r="B998" s="9"/>
      <c r="C998" s="9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9"/>
      <c r="B999" s="9"/>
      <c r="C999" s="9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9"/>
      <c r="B1000" s="9"/>
      <c r="C1000" s="9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9">
    <mergeCell ref="E155:K156"/>
    <mergeCell ref="E157:K158"/>
    <mergeCell ref="D19:J20"/>
    <mergeCell ref="D21:J22"/>
    <mergeCell ref="G128:K128"/>
    <mergeCell ref="E134:F137"/>
    <mergeCell ref="G135:I135"/>
    <mergeCell ref="E138:G140"/>
    <mergeCell ref="H139:K139"/>
  </mergeCells>
  <dataValidations>
    <dataValidation type="list" allowBlank="1" showErrorMessage="1" sqref="F92 F112 I162">
      <formula1>"15,20,25,30,35,40"</formula1>
    </dataValidation>
  </dataValidations>
  <printOptions/>
  <pageMargins bottom="0.75" footer="0.0" header="0.0" left="0.7" right="0.7" top="0.75"/>
  <pageSetup orientation="portrait"/>
  <drawing r:id="rId1"/>
  <legacyDrawing r:id="rId2"/>
  <oleObjects>
    <oleObject progId="Equation.3" shapeId="1036" r:id="rId3"/>
    <oleObject progId="Equation.3" shapeId="1035" r:id="rId4"/>
    <oleObject progId="Equation.3" shapeId="1034" r:id="rId5"/>
    <oleObject progId="Equation.3" shapeId="1033" r:id="rId6"/>
    <oleObject progId="Equation.3" shapeId="1032" r:id="rId7"/>
    <oleObject progId="Equation.3" shapeId="1031" r:id="rId8"/>
    <oleObject progId="Equation.3" shapeId="1030" r:id="rId9"/>
    <oleObject progId="Equation.3" shapeId="1029" r:id="rId10"/>
    <oleObject progId="Equation.3" shapeId="1028" r:id="rId11"/>
    <oleObject progId="Equation.3" shapeId="1027" r:id="rId12"/>
    <oleObject progId="Equation.3" shapeId="1026" r:id="rId13"/>
    <oleObject progId="Equation.3" shapeId="1025" r:id="rId14"/>
    <oleObject progId="Equation.3" shapeId="1046" r:id="rId15"/>
    <oleObject progId="Equation.3" shapeId="1045" r:id="rId16"/>
    <oleObject progId="Equation.3" shapeId="1044" r:id="rId17"/>
    <oleObject progId="Equation.3" shapeId="1043" r:id="rId18"/>
    <oleObject progId="Equation.3" shapeId="1042" r:id="rId19"/>
    <oleObject progId="Equation.3" shapeId="1041" r:id="rId20"/>
    <oleObject progId="Equation.3" shapeId="1040" r:id="rId21"/>
    <oleObject progId="Equation.3" shapeId="1039" r:id="rId22"/>
    <oleObject progId="Equation.3" shapeId="1038" r:id="rId23"/>
    <oleObject progId="Equation.3" shapeId="1037" r:id="rId24"/>
  </oleObjec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3.13"/>
    <col customWidth="1" min="3" max="3" width="3.0"/>
    <col customWidth="1" min="4" max="5" width="9.13"/>
    <col customWidth="1" min="6" max="6" width="14.88"/>
    <col customWidth="1" min="7" max="7" width="10.88"/>
    <col customWidth="1" min="8" max="9" width="10.38"/>
    <col customWidth="1" min="10" max="11" width="10.88"/>
    <col customWidth="1" min="12" max="12" width="9.5"/>
    <col customWidth="1" min="13" max="13" width="10.88"/>
    <col customWidth="1" min="14" max="14" width="9.13"/>
    <col customWidth="1" min="15" max="15" width="9.5"/>
    <col customWidth="1" min="16" max="16" width="9.13"/>
    <col customWidth="1" min="17" max="17" width="11.5"/>
    <col customWidth="1" min="18" max="26" width="9.13"/>
  </cols>
  <sheetData>
    <row r="1">
      <c r="A1" s="9" t="s">
        <v>605</v>
      </c>
      <c r="B1" s="9" t="s">
        <v>606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9"/>
      <c r="B2" s="9" t="s">
        <v>6</v>
      </c>
      <c r="C2" s="9" t="s">
        <v>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9"/>
      <c r="B3" s="9"/>
      <c r="C3" s="9"/>
      <c r="D3" s="10" t="s">
        <v>607</v>
      </c>
      <c r="E3" s="10"/>
      <c r="F3" s="10"/>
      <c r="G3" s="18">
        <f>'Nhập dữ liệu'!E17</f>
        <v>4</v>
      </c>
      <c r="H3" s="10" t="s">
        <v>608</v>
      </c>
      <c r="I3" s="10"/>
      <c r="J3" s="10"/>
      <c r="K3" s="10"/>
      <c r="L3" s="10">
        <f>'Tính Bản'!N16</f>
        <v>700</v>
      </c>
      <c r="M3" s="10" t="s">
        <v>609</v>
      </c>
      <c r="N3" s="10">
        <f>'Tính Bản'!Q16</f>
        <v>300</v>
      </c>
      <c r="O3" s="10" t="s">
        <v>17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9"/>
      <c r="B4" s="9"/>
      <c r="C4" s="9"/>
      <c r="D4" s="10" t="s">
        <v>610</v>
      </c>
      <c r="E4" s="10"/>
      <c r="F4" s="10"/>
      <c r="G4" s="18">
        <f>'Nhập dữ liệu'!D13</f>
        <v>400</v>
      </c>
      <c r="H4" s="18">
        <f>'Nhập dữ liệu'!E13</f>
        <v>400</v>
      </c>
      <c r="I4" s="10" t="s">
        <v>17</v>
      </c>
      <c r="J4" s="10" t="s">
        <v>611</v>
      </c>
      <c r="K4" s="10"/>
      <c r="L4" s="10"/>
      <c r="M4" s="10"/>
      <c r="N4" s="10"/>
      <c r="O4" s="10"/>
      <c r="P4" s="10">
        <f>'Nhập dữ liệu'!B13*3</f>
        <v>7.8</v>
      </c>
      <c r="Q4" s="10" t="s">
        <v>42</v>
      </c>
      <c r="R4" s="10"/>
      <c r="S4" s="10"/>
      <c r="T4" s="10"/>
      <c r="U4" s="10"/>
      <c r="V4" s="10"/>
      <c r="W4" s="10"/>
      <c r="X4" s="10"/>
      <c r="Y4" s="10"/>
      <c r="Z4" s="10"/>
    </row>
    <row r="5">
      <c r="A5" s="9"/>
      <c r="B5" s="9"/>
      <c r="C5" s="9"/>
      <c r="D5" s="355"/>
      <c r="E5" s="356"/>
      <c r="F5" s="356"/>
      <c r="G5" s="357"/>
      <c r="H5" s="357"/>
      <c r="I5" s="356"/>
      <c r="J5" s="356"/>
      <c r="K5" s="356"/>
      <c r="L5" s="356"/>
      <c r="M5" s="356"/>
      <c r="N5" s="356"/>
      <c r="O5" s="356"/>
      <c r="P5" s="356"/>
      <c r="Q5" s="358"/>
      <c r="R5" s="10"/>
      <c r="S5" s="10"/>
      <c r="T5" s="10"/>
      <c r="U5" s="10"/>
      <c r="V5" s="10"/>
      <c r="W5" s="10"/>
      <c r="X5" s="10"/>
      <c r="Y5" s="10"/>
      <c r="Z5" s="10"/>
    </row>
    <row r="6">
      <c r="A6" s="9"/>
      <c r="B6" s="9"/>
      <c r="C6" s="9"/>
      <c r="D6" s="359"/>
      <c r="E6" s="4"/>
      <c r="F6" s="4"/>
      <c r="G6" s="37"/>
      <c r="H6" s="37"/>
      <c r="I6" s="4"/>
      <c r="J6" s="4"/>
      <c r="K6" s="4"/>
      <c r="L6" s="4"/>
      <c r="M6" s="4"/>
      <c r="N6" s="4"/>
      <c r="O6" s="4"/>
      <c r="P6" s="4"/>
      <c r="Q6" s="360"/>
      <c r="R6" s="10"/>
      <c r="S6" s="10"/>
      <c r="T6" s="10"/>
      <c r="U6" s="10"/>
      <c r="V6" s="10"/>
      <c r="W6" s="10"/>
      <c r="X6" s="10"/>
      <c r="Y6" s="10"/>
      <c r="Z6" s="10"/>
    </row>
    <row r="7">
      <c r="A7" s="9"/>
      <c r="B7" s="9"/>
      <c r="C7" s="9"/>
      <c r="D7" s="359"/>
      <c r="E7" s="4"/>
      <c r="F7" s="4"/>
      <c r="G7" s="37"/>
      <c r="H7" s="37"/>
      <c r="I7" s="4"/>
      <c r="J7" s="4"/>
      <c r="K7" s="4"/>
      <c r="L7" s="4"/>
      <c r="M7" s="4"/>
      <c r="N7" s="4"/>
      <c r="O7" s="4"/>
      <c r="P7" s="4"/>
      <c r="Q7" s="36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9"/>
      <c r="B8" s="9"/>
      <c r="C8" s="9"/>
      <c r="D8" s="359"/>
      <c r="E8" s="4"/>
      <c r="F8" s="4"/>
      <c r="G8" s="37"/>
      <c r="H8" s="361"/>
      <c r="I8" s="4"/>
      <c r="J8" s="4"/>
      <c r="K8" s="4"/>
      <c r="L8" s="4"/>
      <c r="M8" s="4"/>
      <c r="N8" s="4"/>
      <c r="O8" s="4"/>
      <c r="P8" s="4"/>
      <c r="Q8" s="360"/>
      <c r="R8" s="10"/>
      <c r="S8" s="10"/>
      <c r="T8" s="10"/>
      <c r="U8" s="10"/>
      <c r="V8" s="10"/>
      <c r="W8" s="10"/>
      <c r="X8" s="10"/>
      <c r="Y8" s="10"/>
      <c r="Z8" s="10"/>
    </row>
    <row r="9" ht="15.0" customHeight="1">
      <c r="A9" s="9"/>
      <c r="B9" s="9"/>
      <c r="C9" s="9"/>
      <c r="D9" s="359"/>
      <c r="E9" s="4"/>
      <c r="F9" s="4"/>
      <c r="G9" s="37"/>
      <c r="H9" s="37"/>
      <c r="I9" s="4"/>
      <c r="J9" s="4"/>
      <c r="K9" s="4"/>
      <c r="L9" s="4"/>
      <c r="M9" s="4"/>
      <c r="N9" s="4"/>
      <c r="O9" s="4"/>
      <c r="P9" s="4"/>
      <c r="Q9" s="360"/>
      <c r="R9" s="10"/>
      <c r="S9" s="10"/>
      <c r="T9" s="10"/>
      <c r="U9" s="10"/>
      <c r="V9" s="10"/>
      <c r="W9" s="10"/>
      <c r="X9" s="10"/>
      <c r="Y9" s="10"/>
      <c r="Z9" s="10"/>
    </row>
    <row r="10" ht="15.0" customHeight="1">
      <c r="A10" s="9"/>
      <c r="B10" s="9"/>
      <c r="C10" s="9"/>
      <c r="D10" s="359"/>
      <c r="E10" s="4"/>
      <c r="F10" s="4"/>
      <c r="G10" s="37"/>
      <c r="H10" s="37"/>
      <c r="I10" s="4"/>
      <c r="J10" s="4"/>
      <c r="K10" s="4"/>
      <c r="L10" s="4"/>
      <c r="M10" s="4"/>
      <c r="N10" s="4"/>
      <c r="O10" s="4"/>
      <c r="P10" s="4"/>
      <c r="Q10" s="36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9"/>
      <c r="B11" s="9"/>
      <c r="C11" s="9"/>
      <c r="D11" s="359"/>
      <c r="E11" s="4"/>
      <c r="F11" s="4"/>
      <c r="G11" s="37"/>
      <c r="H11" s="37"/>
      <c r="I11" s="4"/>
      <c r="J11" s="4"/>
      <c r="K11" s="4"/>
      <c r="L11" s="4"/>
      <c r="M11" s="4"/>
      <c r="N11" s="4"/>
      <c r="O11" s="4"/>
      <c r="P11" s="4"/>
      <c r="Q11" s="36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9"/>
      <c r="B12" s="9"/>
      <c r="C12" s="9"/>
      <c r="D12" s="362"/>
      <c r="E12" s="363"/>
      <c r="F12" s="363"/>
      <c r="G12" s="364"/>
      <c r="H12" s="364"/>
      <c r="I12" s="363"/>
      <c r="J12" s="363"/>
      <c r="K12" s="363"/>
      <c r="L12" s="363"/>
      <c r="M12" s="363"/>
      <c r="N12" s="363"/>
      <c r="O12" s="363"/>
      <c r="P12" s="363"/>
      <c r="Q12" s="365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9"/>
      <c r="B13" s="9" t="s">
        <v>65</v>
      </c>
      <c r="C13" s="9" t="s">
        <v>66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9"/>
      <c r="B14" s="9"/>
      <c r="C14" s="9"/>
      <c r="D14" s="10" t="s">
        <v>612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9"/>
      <c r="B15" s="9"/>
      <c r="C15" s="9"/>
      <c r="D15" s="246" t="s">
        <v>613</v>
      </c>
      <c r="E15" s="10"/>
      <c r="F15" s="10"/>
      <c r="G15" s="10"/>
      <c r="H15" s="18">
        <f>'Tính Bản'!Q16/1000</f>
        <v>0.3</v>
      </c>
      <c r="I15" s="10" t="s">
        <v>46</v>
      </c>
      <c r="J15" s="10">
        <f>'Tính Bản'!N16/1000</f>
        <v>0.7</v>
      </c>
      <c r="K15" s="17" t="s">
        <v>24</v>
      </c>
      <c r="L15" s="10">
        <f>'Tính Bản'!M5/1000</f>
        <v>0.09</v>
      </c>
      <c r="M15" s="10">
        <v>25.0</v>
      </c>
      <c r="N15" s="10">
        <f>'Nhập dữ liệu'!G25</f>
        <v>1.1</v>
      </c>
      <c r="O15" s="10">
        <f>'Nhập dữ liệu'!B13</f>
        <v>2.6</v>
      </c>
      <c r="P15" s="17" t="s">
        <v>40</v>
      </c>
      <c r="Q15" s="93">
        <f>H15*(J15-L15)*M15*N15*O15</f>
        <v>13.0845</v>
      </c>
      <c r="R15" s="10" t="s">
        <v>264</v>
      </c>
      <c r="S15" s="10"/>
      <c r="T15" s="10"/>
      <c r="U15" s="10"/>
      <c r="V15" s="10"/>
      <c r="W15" s="10"/>
      <c r="X15" s="10"/>
      <c r="Y15" s="10"/>
      <c r="Z15" s="10"/>
    </row>
    <row r="16">
      <c r="A16" s="9"/>
      <c r="B16" s="9"/>
      <c r="C16" s="9"/>
      <c r="D16" s="10" t="s">
        <v>614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9"/>
      <c r="B17" s="9"/>
      <c r="C17" s="9"/>
      <c r="D17" s="246" t="s">
        <v>615</v>
      </c>
      <c r="E17" s="10"/>
      <c r="F17" s="93">
        <f>'Tính dầm phụ'!M32</f>
        <v>13.2159</v>
      </c>
      <c r="G17" s="10">
        <f>'Nhập dữ liệu'!C13</f>
        <v>5.4</v>
      </c>
      <c r="H17" s="17" t="s">
        <v>40</v>
      </c>
      <c r="I17" s="10">
        <f>F17*G17</f>
        <v>71.36586</v>
      </c>
      <c r="J17" s="10" t="s">
        <v>373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9"/>
      <c r="B18" s="9"/>
      <c r="C18" s="9"/>
      <c r="D18" s="10" t="s">
        <v>616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9"/>
      <c r="B19" s="9"/>
      <c r="C19" s="9"/>
      <c r="D19" s="246" t="s">
        <v>617</v>
      </c>
      <c r="E19" s="10"/>
      <c r="F19" s="93">
        <f>Q15</f>
        <v>13.0845</v>
      </c>
      <c r="G19" s="17" t="s">
        <v>89</v>
      </c>
      <c r="H19" s="10">
        <f>I17</f>
        <v>71.36586</v>
      </c>
      <c r="I19" s="17" t="s">
        <v>40</v>
      </c>
      <c r="J19" s="93">
        <f>F19+H19</f>
        <v>84.45036</v>
      </c>
      <c r="K19" s="10" t="s">
        <v>373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9"/>
      <c r="B20" s="9"/>
      <c r="C20" s="9"/>
      <c r="D20" s="10" t="s">
        <v>618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9"/>
      <c r="B21" s="9"/>
      <c r="C21" s="9"/>
      <c r="D21" s="246" t="s">
        <v>619</v>
      </c>
      <c r="E21" s="10"/>
      <c r="F21" s="93">
        <f>'Tính dầm phụ'!M34</f>
        <v>18.59</v>
      </c>
      <c r="G21" s="10">
        <f>'Nhập dữ liệu'!C13</f>
        <v>5.4</v>
      </c>
      <c r="H21" s="17" t="s">
        <v>40</v>
      </c>
      <c r="I21" s="10">
        <f>F21*G21</f>
        <v>100.386</v>
      </c>
      <c r="J21" s="10" t="s">
        <v>264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9"/>
      <c r="B22" s="9" t="s">
        <v>165</v>
      </c>
      <c r="C22" s="9" t="s">
        <v>203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9"/>
      <c r="B23" s="9"/>
      <c r="C23" s="9" t="s">
        <v>620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9"/>
      <c r="B24" s="9"/>
      <c r="C24" s="9"/>
      <c r="D24" s="10" t="s">
        <v>621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9"/>
      <c r="B25" s="9"/>
      <c r="C25" s="9"/>
      <c r="D25" s="10" t="s">
        <v>622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9"/>
      <c r="B26" s="9"/>
      <c r="C26" s="9"/>
      <c r="D26" s="10"/>
      <c r="E26" s="10" t="s">
        <v>623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9"/>
      <c r="B27" s="9"/>
      <c r="C27" s="9"/>
      <c r="D27" s="10"/>
      <c r="E27" s="10"/>
      <c r="F27" s="251" t="s">
        <v>624</v>
      </c>
      <c r="G27" s="93">
        <f>J19</f>
        <v>84.45036</v>
      </c>
      <c r="H27" s="18" t="s">
        <v>625</v>
      </c>
      <c r="I27" s="10">
        <f>'Nhập dữ liệu'!B13</f>
        <v>2.6</v>
      </c>
      <c r="J27" s="10" t="s">
        <v>626</v>
      </c>
      <c r="K27" s="93">
        <f>G27*3*I27</f>
        <v>658.712808</v>
      </c>
      <c r="L27" s="10" t="s">
        <v>494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9"/>
      <c r="B28" s="9"/>
      <c r="C28" s="9"/>
      <c r="D28" s="10" t="s">
        <v>627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9"/>
      <c r="B29" s="9"/>
      <c r="C29" s="9"/>
      <c r="D29" s="47" t="s">
        <v>628</v>
      </c>
      <c r="E29" s="18">
        <f>IF(G3=2,2,IF(G3=3,5,IF(G3=4,6,"")))</f>
        <v>6</v>
      </c>
      <c r="F29" s="10" t="s">
        <v>629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9"/>
      <c r="B30" s="9"/>
      <c r="C30" s="9"/>
      <c r="D30" s="10" t="s">
        <v>630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9"/>
      <c r="B31" s="9"/>
      <c r="C31" s="9"/>
      <c r="D31" s="246" t="s">
        <v>631</v>
      </c>
      <c r="E31" s="10"/>
      <c r="F31" s="366" t="s">
        <v>632</v>
      </c>
      <c r="G31" s="10">
        <f>I21</f>
        <v>100.386</v>
      </c>
      <c r="H31" s="18" t="s">
        <v>633</v>
      </c>
      <c r="I31" s="10">
        <f>'Nhập dữ liệu'!B13</f>
        <v>2.6</v>
      </c>
      <c r="J31" s="10" t="s">
        <v>634</v>
      </c>
      <c r="K31" s="10">
        <f>G31*3*I31</f>
        <v>783.0108</v>
      </c>
      <c r="L31" s="10" t="s">
        <v>494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9"/>
      <c r="B32" s="9"/>
      <c r="C32" s="9"/>
      <c r="D32" s="4"/>
      <c r="E32" s="4"/>
      <c r="F32" s="367"/>
      <c r="G32" s="4"/>
      <c r="H32" s="37"/>
      <c r="I32" s="4"/>
      <c r="J32" s="4"/>
      <c r="K32" s="4"/>
      <c r="L32" s="4"/>
      <c r="M32" s="4"/>
      <c r="N32" s="4"/>
      <c r="O32" s="4"/>
      <c r="P32" s="4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9"/>
      <c r="B33" s="9"/>
      <c r="C33" s="9"/>
      <c r="D33" s="4"/>
      <c r="E33" s="4"/>
      <c r="F33" s="367"/>
      <c r="G33" s="4"/>
      <c r="H33" s="37"/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9"/>
      <c r="B34" s="9"/>
      <c r="C34" s="9"/>
      <c r="D34" s="4"/>
      <c r="E34" s="4"/>
      <c r="F34" s="367"/>
      <c r="G34" s="4"/>
      <c r="H34" s="37"/>
      <c r="I34" s="4"/>
      <c r="J34" s="4"/>
      <c r="K34" s="4"/>
      <c r="L34" s="4"/>
      <c r="M34" s="4"/>
      <c r="N34" s="4"/>
      <c r="O34" s="4"/>
      <c r="P34" s="4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9"/>
      <c r="B35" s="9"/>
      <c r="C35" s="9"/>
      <c r="D35" s="4"/>
      <c r="E35" s="4"/>
      <c r="F35" s="367"/>
      <c r="G35" s="4"/>
      <c r="H35" s="37"/>
      <c r="I35" s="4"/>
      <c r="J35" s="4"/>
      <c r="K35" s="4"/>
      <c r="L35" s="4"/>
      <c r="M35" s="4"/>
      <c r="N35" s="4"/>
      <c r="O35" s="4"/>
      <c r="P35" s="4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9"/>
      <c r="B36" s="9"/>
      <c r="C36" s="9"/>
      <c r="D36" s="4"/>
      <c r="E36" s="4"/>
      <c r="F36" s="367"/>
      <c r="G36" s="4"/>
      <c r="H36" s="37"/>
      <c r="I36" s="4"/>
      <c r="J36" s="4"/>
      <c r="K36" s="4"/>
      <c r="L36" s="4"/>
      <c r="M36" s="4"/>
      <c r="N36" s="4"/>
      <c r="O36" s="4"/>
      <c r="P36" s="4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9"/>
      <c r="B37" s="9"/>
      <c r="C37" s="9"/>
      <c r="D37" s="4"/>
      <c r="E37" s="4"/>
      <c r="F37" s="11" t="s">
        <v>4</v>
      </c>
      <c r="G37" s="12"/>
      <c r="H37" s="12"/>
      <c r="I37" s="12"/>
      <c r="J37" s="12"/>
      <c r="K37" s="12"/>
      <c r="L37" s="13"/>
      <c r="M37" s="4"/>
      <c r="N37" s="4"/>
      <c r="O37" s="4"/>
      <c r="P37" s="4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9"/>
      <c r="B38" s="9"/>
      <c r="C38" s="9"/>
      <c r="D38" s="4"/>
      <c r="E38" s="4"/>
      <c r="F38" s="14"/>
      <c r="G38" s="15"/>
      <c r="H38" s="15"/>
      <c r="I38" s="15"/>
      <c r="J38" s="15"/>
      <c r="K38" s="15"/>
      <c r="L38" s="16"/>
      <c r="M38" s="4"/>
      <c r="N38" s="4"/>
      <c r="O38" s="4"/>
      <c r="P38" s="4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9"/>
      <c r="B39" s="9"/>
      <c r="C39" s="9"/>
      <c r="D39" s="4"/>
      <c r="E39" s="4"/>
      <c r="F39" s="265" t="s">
        <v>12</v>
      </c>
      <c r="G39" s="20"/>
      <c r="H39" s="20"/>
      <c r="I39" s="20"/>
      <c r="J39" s="20"/>
      <c r="K39" s="20"/>
      <c r="L39" s="21"/>
      <c r="M39" s="4"/>
      <c r="N39" s="4"/>
      <c r="O39" s="4"/>
      <c r="P39" s="4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9"/>
      <c r="B40" s="9"/>
      <c r="C40" s="9"/>
      <c r="D40" s="4"/>
      <c r="E40" s="4"/>
      <c r="F40" s="74"/>
      <c r="G40" s="75"/>
      <c r="H40" s="75"/>
      <c r="I40" s="75"/>
      <c r="J40" s="75"/>
      <c r="K40" s="75"/>
      <c r="L40" s="76"/>
      <c r="M40" s="4"/>
      <c r="N40" s="4"/>
      <c r="O40" s="4"/>
      <c r="P40" s="4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9"/>
      <c r="B41" s="9"/>
      <c r="C41" s="9"/>
      <c r="D41" s="4"/>
      <c r="E41" s="4"/>
      <c r="F41" s="367"/>
      <c r="G41" s="4"/>
      <c r="H41" s="37"/>
      <c r="I41" s="4"/>
      <c r="J41" s="4"/>
      <c r="K41" s="4"/>
      <c r="L41" s="4"/>
      <c r="M41" s="4"/>
      <c r="N41" s="4"/>
      <c r="O41" s="4"/>
      <c r="P41" s="4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9"/>
      <c r="B42" s="9"/>
      <c r="C42" s="9"/>
      <c r="D42" s="4"/>
      <c r="E42" s="4"/>
      <c r="F42" s="367"/>
      <c r="G42" s="4"/>
      <c r="H42" s="37"/>
      <c r="I42" s="4"/>
      <c r="J42" s="4"/>
      <c r="K42" s="4"/>
      <c r="L42" s="4"/>
      <c r="M42" s="4"/>
      <c r="N42" s="4"/>
      <c r="O42" s="4"/>
      <c r="P42" s="4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9"/>
      <c r="B43" s="9"/>
      <c r="C43" s="9"/>
      <c r="D43" s="4"/>
      <c r="E43" s="4"/>
      <c r="F43" s="367"/>
      <c r="G43" s="4"/>
      <c r="H43" s="37"/>
      <c r="I43" s="4"/>
      <c r="J43" s="4"/>
      <c r="K43" s="4"/>
      <c r="L43" s="4"/>
      <c r="M43" s="4"/>
      <c r="N43" s="4"/>
      <c r="O43" s="4"/>
      <c r="P43" s="4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9"/>
      <c r="B44" s="9"/>
      <c r="C44" s="9"/>
      <c r="D44" s="4"/>
      <c r="E44" s="4"/>
      <c r="F44" s="367"/>
      <c r="G44" s="4"/>
      <c r="H44" s="37"/>
      <c r="I44" s="4"/>
      <c r="J44" s="4"/>
      <c r="K44" s="4"/>
      <c r="L44" s="4"/>
      <c r="M44" s="4"/>
      <c r="N44" s="4"/>
      <c r="O44" s="4"/>
      <c r="P44" s="4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9"/>
      <c r="B45" s="9"/>
      <c r="C45" s="9"/>
      <c r="D45" s="10" t="str">
        <f>IF(G3&gt;2,"Trong sơ đồ Mp3 còn thiếu a để tính mômen uốn tại các tiết diện 1,2,3,4.")</f>
        <v>Trong sơ đồ Mp3 còn thiếu a để tính mômen uốn tại các tiết diện 1,2,3,4.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9"/>
      <c r="B46" s="9"/>
      <c r="C46" s="9"/>
      <c r="D46" s="10" t="s">
        <v>635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9"/>
      <c r="B47" s="9"/>
      <c r="C47" s="9"/>
      <c r="D47" s="10"/>
      <c r="E47" s="251" t="s">
        <v>636</v>
      </c>
      <c r="F47" s="10">
        <f>I21</f>
        <v>100.386</v>
      </c>
      <c r="G47" s="10">
        <f>'Nhập dữ liệu'!B13</f>
        <v>2.6</v>
      </c>
      <c r="H47" s="17" t="s">
        <v>40</v>
      </c>
      <c r="I47" s="10">
        <f>F47*G47</f>
        <v>261.0036</v>
      </c>
      <c r="J47" s="10" t="s">
        <v>450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9"/>
      <c r="B48" s="9"/>
      <c r="C48" s="9"/>
      <c r="D48" s="10" t="s">
        <v>637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9"/>
      <c r="B49" s="9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9"/>
      <c r="B50" s="9"/>
      <c r="C50" s="9"/>
      <c r="D50" s="10"/>
      <c r="E50" s="10" t="str">
        <f>IF(G3&gt;2,"M1 =","")</f>
        <v>M1 =</v>
      </c>
      <c r="F50" s="18">
        <f>IF(G3&gt;2,I47,"")</f>
        <v>261.0036</v>
      </c>
      <c r="G50" s="18" t="str">
        <f>IF(G3&gt;2,"-","")</f>
        <v>-</v>
      </c>
      <c r="H50" s="10">
        <f>IF(G3=3,ABS(H73),IF(G3=4,ABS(H89),""))</f>
        <v>251.3464668</v>
      </c>
      <c r="I50" s="92" t="str">
        <f>IF(G3&gt;2,"x","")</f>
        <v>x</v>
      </c>
      <c r="J50" s="368">
        <f>IF(G3&gt;2,0.333333333333333,"")</f>
        <v>0.3333333333</v>
      </c>
      <c r="K50" s="18" t="str">
        <f>IF(G3&gt;2,"=","")</f>
        <v>=</v>
      </c>
      <c r="L50" s="247">
        <f>IF(G3&gt;2,F50-H50*J50,"")</f>
        <v>177.2214444</v>
      </c>
      <c r="M50" s="10" t="str">
        <f>IF(G3&gt;2,"kNm;","")</f>
        <v>kNm;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9"/>
      <c r="B51" s="9"/>
      <c r="C51" s="9"/>
      <c r="D51" s="10"/>
      <c r="E51" s="10" t="str">
        <f>IF(G3&gt;2,"M2 =","")</f>
        <v>M2 =</v>
      </c>
      <c r="F51" s="18">
        <f>IF(G3&gt;2,I47,"")</f>
        <v>261.0036</v>
      </c>
      <c r="G51" s="18" t="str">
        <f>IF(G3&gt;2,"-","")</f>
        <v>-</v>
      </c>
      <c r="H51" s="10">
        <f>IF(G3=3,ABS(H73),IF(G3=4,ABS(H89),""))</f>
        <v>251.3464668</v>
      </c>
      <c r="I51" s="92" t="str">
        <f>IF(G3&gt;2,"x","")</f>
        <v>x</v>
      </c>
      <c r="J51" s="368">
        <f>IF(G3&gt;2,0.666666666666667,"")</f>
        <v>0.6666666667</v>
      </c>
      <c r="K51" s="18" t="str">
        <f>IF(G3&gt;2,"=","")</f>
        <v>=</v>
      </c>
      <c r="L51" s="247">
        <f>IF(G3&gt;2,F51-H51*J51,"")</f>
        <v>93.4392888</v>
      </c>
      <c r="M51" s="10" t="str">
        <f>IF(G3&gt;2,"kNm;","")</f>
        <v>kNm;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9"/>
      <c r="B52" s="9"/>
      <c r="C52" s="9"/>
      <c r="D52" s="10"/>
      <c r="E52" s="10" t="str">
        <f>IF(G3&gt;2,"M3 =","")</f>
        <v>M3 =</v>
      </c>
      <c r="F52" s="18">
        <f>IF(G3&gt;2,I47,"")</f>
        <v>261.0036</v>
      </c>
      <c r="G52" s="18" t="str">
        <f>IF(G3&gt;2,"-","")</f>
        <v>-</v>
      </c>
      <c r="H52" s="18" t="str">
        <f>IF(G3&gt;2,"(2/3).(","")</f>
        <v>(2/3).(</v>
      </c>
      <c r="I52" s="10">
        <f>IF(G3=3,ABS(H73),IF(G3=4,ABS(H89),""))</f>
        <v>251.3464668</v>
      </c>
      <c r="J52" s="18" t="str">
        <f>IF(G3&gt;2,"-","")</f>
        <v>-</v>
      </c>
      <c r="K52" s="18">
        <f>IF(G3=3,ABS(K73),IF(G3=4,ABS(K89),""))</f>
        <v>37.5845184</v>
      </c>
      <c r="L52" s="18" t="str">
        <f>IF(G3&gt;2,")      -","")</f>
        <v>)      -</v>
      </c>
      <c r="M52" s="10">
        <f>IF(G3&gt;2,K52,"")</f>
        <v>37.5845184</v>
      </c>
      <c r="N52" s="10" t="str">
        <f>IF(G3&gt;2,"=","")</f>
        <v>=</v>
      </c>
      <c r="O52" s="247">
        <f>IF(G3&gt;2,F52-(2/3)*(I52-K52)-M52,"")</f>
        <v>80.911116</v>
      </c>
      <c r="P52" s="10" t="str">
        <f>IF(G3&gt;2,"kNm;","")</f>
        <v>kNm;</v>
      </c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9"/>
      <c r="B53" s="9"/>
      <c r="C53" s="9"/>
      <c r="D53" s="10"/>
      <c r="E53" s="10" t="str">
        <f>IF(G3&gt;2,"M4 =","")</f>
        <v>M4 =</v>
      </c>
      <c r="F53" s="18">
        <f>IF(G3&gt;2,I47,"")</f>
        <v>261.0036</v>
      </c>
      <c r="G53" s="18" t="str">
        <f>IF(G3&gt;2,"-","")</f>
        <v>-</v>
      </c>
      <c r="H53" s="18" t="str">
        <f>IF(G3&gt;2,"(1/3).(","")</f>
        <v>(1/3).(</v>
      </c>
      <c r="I53" s="10">
        <f>IF(G3=3,ABS(H73),IF(G3=4,ABS(H89),""))</f>
        <v>251.3464668</v>
      </c>
      <c r="J53" s="18" t="str">
        <f>IF(G3&gt;2,"-","")</f>
        <v>-</v>
      </c>
      <c r="K53" s="18">
        <f>IF(G3=3,ABS(K73),IF(G3=4,ABS(K89),""))</f>
        <v>37.5845184</v>
      </c>
      <c r="L53" s="18" t="str">
        <f>IF(G3&gt;2,")      -","")</f>
        <v>)      -</v>
      </c>
      <c r="M53" s="10">
        <f>IF(G3&gt;2,K52,"")</f>
        <v>37.5845184</v>
      </c>
      <c r="N53" s="10" t="str">
        <f>IF(G3&gt;2,"=","")</f>
        <v>=</v>
      </c>
      <c r="O53" s="247">
        <f>IF(G3&gt;2,F52-(1/3)*(I52-K52)-M52,"")</f>
        <v>152.1650988</v>
      </c>
      <c r="P53" s="10" t="str">
        <f>IF(G3&gt;2,"kNm;","")</f>
        <v>kNm;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9"/>
      <c r="B54" s="9"/>
      <c r="C54" s="9"/>
      <c r="D54" s="10"/>
      <c r="E54" s="9" t="str">
        <f>IF(G3&lt;&gt;2,"","Bảng 4.1. Tính toán và tổ hợp mômen")</f>
        <v/>
      </c>
      <c r="F54" s="10"/>
      <c r="G54" s="10"/>
      <c r="H54" s="10"/>
      <c r="I54" s="10"/>
      <c r="J54" s="183" t="str">
        <f>IF(G3&lt;&gt;2,"","(dầm 2 nhịp)")</f>
        <v/>
      </c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9"/>
      <c r="B55" s="9"/>
      <c r="C55" s="9"/>
      <c r="D55" s="369" t="s">
        <v>638</v>
      </c>
      <c r="E55" s="370" t="s">
        <v>639</v>
      </c>
      <c r="F55" s="371" t="str">
        <f>IF(G3=2,"1","")</f>
        <v/>
      </c>
      <c r="G55" s="371" t="str">
        <f>IF(G3=2,"2","")</f>
        <v/>
      </c>
      <c r="H55" s="371" t="str">
        <f>IF(G3=2,"B","")</f>
        <v/>
      </c>
      <c r="I55" s="371" t="str">
        <f>IF(G3=2,"3","")</f>
        <v/>
      </c>
      <c r="J55" s="371" t="str">
        <f>IF(G3=2,"4","")</f>
        <v/>
      </c>
      <c r="K55" s="371" t="str">
        <f>IF(G3=2,"C","")</f>
        <v/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9"/>
      <c r="B56" s="9"/>
      <c r="C56" s="9"/>
      <c r="D56" s="372" t="s">
        <v>640</v>
      </c>
      <c r="E56" s="373" t="s">
        <v>641</v>
      </c>
      <c r="F56" s="374"/>
      <c r="G56" s="374"/>
      <c r="H56" s="374"/>
      <c r="I56" s="374"/>
      <c r="J56" s="374"/>
      <c r="K56" s="374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9"/>
      <c r="B57" s="9"/>
      <c r="C57" s="9"/>
      <c r="D57" s="371" t="s">
        <v>642</v>
      </c>
      <c r="E57" s="375" t="s">
        <v>496</v>
      </c>
      <c r="F57" s="376" t="str">
        <f>IF(G3=2,0.222,"")</f>
        <v/>
      </c>
      <c r="G57" s="376" t="str">
        <f>IF(G3=2,0.111,"")</f>
        <v/>
      </c>
      <c r="H57" s="376" t="str">
        <f>IF(G3=2,-0.333,"")</f>
        <v/>
      </c>
      <c r="I57" s="376" t="str">
        <f>IF(G3=2,0.111,"")</f>
        <v/>
      </c>
      <c r="J57" s="376" t="str">
        <f>IF(G3=2,0.222,"")</f>
        <v/>
      </c>
      <c r="K57" s="376" t="str">
        <f>IF(G3=2,0,"")</f>
        <v/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9"/>
      <c r="B58" s="9"/>
      <c r="C58" s="9"/>
      <c r="D58" s="374"/>
      <c r="E58" s="377" t="s">
        <v>643</v>
      </c>
      <c r="F58" s="376" t="str">
        <f>IF(G3=2,F57*K27,"")</f>
        <v/>
      </c>
      <c r="G58" s="376" t="str">
        <f>IF(G3=2,G57*K27,"")</f>
        <v/>
      </c>
      <c r="H58" s="376" t="str">
        <f>IF(G3=2,H57*K27,"")</f>
        <v/>
      </c>
      <c r="I58" s="376" t="str">
        <f>IF(G3=2,I57*K27,"")</f>
        <v/>
      </c>
      <c r="J58" s="376" t="str">
        <f>IF(G3=2,J57*K27,"")</f>
        <v/>
      </c>
      <c r="K58" s="376" t="str">
        <f>IF(G3=2,K57*K27,"")</f>
        <v/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9"/>
      <c r="B59" s="9"/>
      <c r="C59" s="9"/>
      <c r="D59" s="371" t="s">
        <v>644</v>
      </c>
      <c r="E59" s="375" t="s">
        <v>496</v>
      </c>
      <c r="F59" s="376" t="str">
        <f>IF(G3=2,0.278,"")</f>
        <v/>
      </c>
      <c r="G59" s="376" t="str">
        <f>IF(G3=2,0.222,"")</f>
        <v/>
      </c>
      <c r="H59" s="376" t="str">
        <f>IF(G3=2,-0.267,"")</f>
        <v/>
      </c>
      <c r="I59" s="376" t="str">
        <f>IF(G3=2,-0.111,"")</f>
        <v/>
      </c>
      <c r="J59" s="376" t="str">
        <f>IF(G3=2,-0.056,"")</f>
        <v/>
      </c>
      <c r="K59" s="376" t="str">
        <f>IF(G3=2,0,"")</f>
        <v/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9"/>
      <c r="B60" s="9"/>
      <c r="C60" s="9"/>
      <c r="D60" s="374"/>
      <c r="E60" s="377" t="s">
        <v>643</v>
      </c>
      <c r="F60" s="376" t="str">
        <f>IF(G3=2,F59*K31,"")</f>
        <v/>
      </c>
      <c r="G60" s="376" t="str">
        <f>IF(G3=2,G59*K31,"")</f>
        <v/>
      </c>
      <c r="H60" s="376" t="str">
        <f>IF(G3=2,H59*K31,"")</f>
        <v/>
      </c>
      <c r="I60" s="376" t="str">
        <f>IF(G3=2,I59*K31,"")</f>
        <v/>
      </c>
      <c r="J60" s="376" t="str">
        <f>IF(G3=2,J59*K31,"")</f>
        <v/>
      </c>
      <c r="K60" s="376" t="str">
        <f>IF(G3=2,K59*K31,"")</f>
        <v/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9"/>
      <c r="B61" s="9"/>
      <c r="C61" s="9"/>
      <c r="D61" s="378" t="s">
        <v>643</v>
      </c>
      <c r="E61" s="379" t="s">
        <v>645</v>
      </c>
      <c r="F61" s="376" t="str">
        <f>IF(G3=2,F58+F60,"")</f>
        <v/>
      </c>
      <c r="G61" s="376" t="s">
        <v>646</v>
      </c>
      <c r="H61" s="376" t="s">
        <v>647</v>
      </c>
      <c r="I61" s="376" t="str">
        <f>IF(G3=2,I58+I60,"")</f>
        <v/>
      </c>
      <c r="J61" s="376" t="str">
        <f>IF(G3=2,J58+J60,"")</f>
        <v/>
      </c>
      <c r="K61" s="376" t="str">
        <f>IF(G3=2,K58+K60,"")</f>
        <v/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9"/>
      <c r="B62" s="9"/>
      <c r="C62" s="9"/>
      <c r="D62" s="378" t="s">
        <v>643</v>
      </c>
      <c r="E62" s="379" t="s">
        <v>648</v>
      </c>
      <c r="F62" s="376" t="str">
        <f>IF(G3=2,F61,"")</f>
        <v/>
      </c>
      <c r="G62" s="376" t="str">
        <f>IF(G3=2,G61,"")</f>
        <v/>
      </c>
      <c r="H62" s="376" t="str">
        <f>IF(G3=2,H61,"")</f>
        <v/>
      </c>
      <c r="I62" s="376" t="str">
        <f>IF(G3=2,I61,"")</f>
        <v/>
      </c>
      <c r="J62" s="376" t="str">
        <f>IF(G3=2,J61,"")</f>
        <v/>
      </c>
      <c r="K62" s="376" t="str">
        <f>IF(G3=2,K61,"")</f>
        <v/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9"/>
      <c r="B63" s="9"/>
      <c r="C63" s="9"/>
      <c r="D63" s="380"/>
      <c r="E63" s="381" t="str">
        <f>IF(G3&lt;&gt;3,"","Bảng 4.1. Tính toán và tổ hợp mômen")</f>
        <v/>
      </c>
      <c r="F63" s="380"/>
      <c r="G63" s="380"/>
      <c r="H63" s="380"/>
      <c r="I63" s="380"/>
      <c r="J63" s="382" t="str">
        <f>IF(G3&lt;&gt;3,"","(dầm 3 nhịp)")</f>
        <v/>
      </c>
      <c r="K63" s="38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9"/>
      <c r="B64" s="9"/>
      <c r="C64" s="9"/>
      <c r="D64" s="369" t="s">
        <v>638</v>
      </c>
      <c r="E64" s="370" t="s">
        <v>639</v>
      </c>
      <c r="F64" s="371" t="str">
        <f>IF(G3=3,"1","")</f>
        <v/>
      </c>
      <c r="G64" s="371" t="str">
        <f>IF(G3=3,"2","")</f>
        <v/>
      </c>
      <c r="H64" s="371" t="str">
        <f>IF(G3=3,"B","")</f>
        <v/>
      </c>
      <c r="I64" s="371" t="str">
        <f>IF(G3=3,"3","")</f>
        <v/>
      </c>
      <c r="J64" s="371" t="str">
        <f>IF(G3=3,"4","")</f>
        <v/>
      </c>
      <c r="K64" s="371" t="str">
        <f>IF(G3=3,"C","")</f>
        <v/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9"/>
      <c r="B65" s="9"/>
      <c r="C65" s="9"/>
      <c r="D65" s="372" t="s">
        <v>640</v>
      </c>
      <c r="E65" s="373" t="s">
        <v>641</v>
      </c>
      <c r="F65" s="374"/>
      <c r="G65" s="374"/>
      <c r="H65" s="374"/>
      <c r="I65" s="374"/>
      <c r="J65" s="374"/>
      <c r="K65" s="37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9"/>
      <c r="B66" s="9"/>
      <c r="C66" s="9"/>
      <c r="D66" s="371" t="s">
        <v>649</v>
      </c>
      <c r="E66" s="375" t="s">
        <v>496</v>
      </c>
      <c r="F66" s="376" t="str">
        <f>IF(G3=3,0.244,"")</f>
        <v/>
      </c>
      <c r="G66" s="376" t="str">
        <f>IF(G3=3,0.156,"")</f>
        <v/>
      </c>
      <c r="H66" s="376" t="str">
        <f>IF(G3=3,-0.267,"")</f>
        <v/>
      </c>
      <c r="I66" s="376" t="str">
        <f>IF(G3=3,0.067,"")</f>
        <v/>
      </c>
      <c r="J66" s="376" t="str">
        <f>IF(G3=3,0.067,"")</f>
        <v/>
      </c>
      <c r="K66" s="376" t="str">
        <f>IF(G3=3,-0.267,"")</f>
        <v/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9"/>
      <c r="B67" s="9"/>
      <c r="C67" s="9"/>
      <c r="D67" s="374"/>
      <c r="E67" s="377" t="s">
        <v>643</v>
      </c>
      <c r="F67" s="376" t="str">
        <f>IF(G3=3,F66*K27,"")</f>
        <v/>
      </c>
      <c r="G67" s="376" t="str">
        <f>IF(G3=3,G66*K27,"")</f>
        <v/>
      </c>
      <c r="H67" s="376" t="str">
        <f>IF(G3=3,H66*K27,"")</f>
        <v/>
      </c>
      <c r="I67" s="376" t="str">
        <f>IF(G3=3,I66*K27,"")</f>
        <v/>
      </c>
      <c r="J67" s="376" t="str">
        <f>IF(G3=3,J66*K27,"")</f>
        <v/>
      </c>
      <c r="K67" s="376" t="str">
        <f>IF(G3=3,K66*K27,"")</f>
        <v/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9"/>
      <c r="B68" s="9"/>
      <c r="C68" s="9"/>
      <c r="D68" s="371" t="s">
        <v>650</v>
      </c>
      <c r="E68" s="375" t="s">
        <v>496</v>
      </c>
      <c r="F68" s="376" t="str">
        <f>IF(G3=3,0.289,"")</f>
        <v/>
      </c>
      <c r="G68" s="376" t="str">
        <f>IF(G3=3,0.244,"")</f>
        <v/>
      </c>
      <c r="H68" s="376" t="str">
        <f>IF(G3=3,-0.133,"")</f>
        <v/>
      </c>
      <c r="I68" s="376" t="str">
        <f>IF(G3=3,-0.133,"")</f>
        <v/>
      </c>
      <c r="J68" s="383" t="str">
        <f>IF(G3=3,"","")</f>
        <v/>
      </c>
      <c r="K68" s="383" t="str">
        <f>IF(G3=3,"","")</f>
        <v/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9"/>
      <c r="B69" s="9"/>
      <c r="C69" s="9"/>
      <c r="D69" s="374"/>
      <c r="E69" s="377" t="s">
        <v>643</v>
      </c>
      <c r="F69" s="376" t="str">
        <f>IF(G3=3,F68*K31,"")</f>
        <v/>
      </c>
      <c r="G69" s="376" t="str">
        <f>IF(G3=3,G68*K31,"")</f>
        <v/>
      </c>
      <c r="H69" s="376" t="str">
        <f>IF(G3=3,H68*K31,"")</f>
        <v/>
      </c>
      <c r="I69" s="376" t="str">
        <f>IF(G3=3,I68*K31,"")</f>
        <v/>
      </c>
      <c r="J69" s="383" t="str">
        <f>IF(G3=3,I69,"")</f>
        <v/>
      </c>
      <c r="K69" s="383" t="str">
        <f>IF(G3=3,H69,"")</f>
        <v/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9"/>
      <c r="B70" s="9"/>
      <c r="C70" s="9"/>
      <c r="D70" s="371" t="s">
        <v>651</v>
      </c>
      <c r="E70" s="375" t="s">
        <v>496</v>
      </c>
      <c r="F70" s="376" t="str">
        <f>IF(G3=3,-0.044,"")</f>
        <v/>
      </c>
      <c r="G70" s="376" t="str">
        <f>IF(G3=3,-0.089,"")</f>
        <v/>
      </c>
      <c r="H70" s="376" t="str">
        <f>IF(G3=3,-0.133,"")</f>
        <v/>
      </c>
      <c r="I70" s="376" t="str">
        <f>IF(G3=3,0.2,"")</f>
        <v/>
      </c>
      <c r="J70" s="376" t="str">
        <f>IF(G3=3,0.2,"")</f>
        <v/>
      </c>
      <c r="K70" s="383" t="str">
        <f>IF(G3=3,"","")</f>
        <v/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9"/>
      <c r="B71" s="9"/>
      <c r="C71" s="9"/>
      <c r="D71" s="374"/>
      <c r="E71" s="377" t="s">
        <v>643</v>
      </c>
      <c r="F71" s="376" t="str">
        <f>IF(G3=3,F70*K31,"")</f>
        <v/>
      </c>
      <c r="G71" s="376" t="str">
        <f>IF(G3=3,G70*K31,"")</f>
        <v/>
      </c>
      <c r="H71" s="376" t="str">
        <f>IF(G3=3,H70*K31,"")</f>
        <v/>
      </c>
      <c r="I71" s="376" t="str">
        <f>IF(G3=3,I70*K31,"")</f>
        <v/>
      </c>
      <c r="J71" s="376" t="str">
        <f>IF(G3=3,J70*K31,"")</f>
        <v/>
      </c>
      <c r="K71" s="383" t="str">
        <f>IF(G3=3,H71,"")</f>
        <v/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9"/>
      <c r="B72" s="9"/>
      <c r="C72" s="9"/>
      <c r="D72" s="371" t="s">
        <v>652</v>
      </c>
      <c r="E72" s="375" t="s">
        <v>496</v>
      </c>
      <c r="F72" s="383" t="str">
        <f>IF(G3=3,"","")</f>
        <v/>
      </c>
      <c r="G72" s="383" t="str">
        <f>IF(G3=3,"","")</f>
        <v/>
      </c>
      <c r="H72" s="376" t="str">
        <f>IF(G3=3,-0.311,"")</f>
        <v/>
      </c>
      <c r="I72" s="383" t="str">
        <f>IF(G3=3,"","")</f>
        <v/>
      </c>
      <c r="J72" s="383" t="str">
        <f>IF(G3=3,"","")</f>
        <v/>
      </c>
      <c r="K72" s="376" t="str">
        <f>IF(G3=3,-0.08,"")</f>
        <v/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9"/>
      <c r="B73" s="9"/>
      <c r="C73" s="9"/>
      <c r="D73" s="374"/>
      <c r="E73" s="377" t="s">
        <v>643</v>
      </c>
      <c r="F73" s="383" t="str">
        <f>IF(G3=3,I47+H73/3,"")</f>
        <v/>
      </c>
      <c r="G73" s="383" t="str">
        <f>IF(G3=3,I47+H73*2/3,"")</f>
        <v/>
      </c>
      <c r="H73" s="376" t="str">
        <f>IF(G3=3,H72*K31,"")</f>
        <v/>
      </c>
      <c r="I73" s="383" t="str">
        <f>IF(G3=3,I47+(H73-K73)*2/3+K73,"")</f>
        <v/>
      </c>
      <c r="J73" s="383" t="str">
        <f>IF(G3=3,I47+(H73-K73)/3+K73,"")</f>
        <v/>
      </c>
      <c r="K73" s="376" t="str">
        <f>IF(G3=3,K72*K31,"")</f>
        <v/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9"/>
      <c r="B74" s="9"/>
      <c r="C74" s="9"/>
      <c r="D74" s="371" t="s">
        <v>653</v>
      </c>
      <c r="E74" s="375" t="s">
        <v>496</v>
      </c>
      <c r="F74" s="383" t="str">
        <f>IF(G3=3,"","")</f>
        <v/>
      </c>
      <c r="G74" s="383" t="str">
        <f>IF(G3=3,"","")</f>
        <v/>
      </c>
      <c r="H74" s="376" t="str">
        <f>IF(G3=3,0.044,"")</f>
        <v/>
      </c>
      <c r="I74" s="383" t="str">
        <f>IF(G3=3,"","")</f>
        <v/>
      </c>
      <c r="J74" s="383" t="str">
        <f>IF(G3=3,"","")</f>
        <v/>
      </c>
      <c r="K74" s="376" t="str">
        <f>IF(G3=3,-0.178,"")</f>
        <v/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9"/>
      <c r="B75" s="9"/>
      <c r="C75" s="9"/>
      <c r="D75" s="374"/>
      <c r="E75" s="377" t="s">
        <v>643</v>
      </c>
      <c r="F75" s="383" t="str">
        <f>IF(G3=3,H75/3,"")</f>
        <v/>
      </c>
      <c r="G75" s="383" t="str">
        <f>IF(G3=3,2*F75,"")</f>
        <v/>
      </c>
      <c r="H75" s="376" t="str">
        <f>IF(G3=3,H74*K31,"")</f>
        <v/>
      </c>
      <c r="I75" s="383" t="str">
        <f>IF(G3=3,H75+(K75-H75)/3,"")</f>
        <v/>
      </c>
      <c r="J75" s="383" t="str">
        <f>IF(G3=3,H75+2*(K75-H75)/3,"")</f>
        <v/>
      </c>
      <c r="K75" s="376" t="str">
        <f>IF(G3=3,K74*K31,"")</f>
        <v/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9"/>
      <c r="B76" s="9"/>
      <c r="C76" s="9"/>
      <c r="D76" s="378" t="s">
        <v>643</v>
      </c>
      <c r="E76" s="379" t="s">
        <v>645</v>
      </c>
      <c r="F76" s="376" t="str">
        <f>IF(G3=3,F67+MAX(F69,F71,F73,F75),"")</f>
        <v/>
      </c>
      <c r="G76" s="376" t="str">
        <f>IF(G3=3,G67+MAX(G69,G71,G73,G75),"")</f>
        <v/>
      </c>
      <c r="H76" s="376" t="str">
        <f>IF(G3=3,H67+MAX(H69,H71,H73,H75),"")</f>
        <v/>
      </c>
      <c r="I76" s="376" t="str">
        <f>IF(G3=3,I67+MAX(I69,I71,I73,I75),"")</f>
        <v/>
      </c>
      <c r="J76" s="376" t="str">
        <f>IF(G3=3,J67+MAX(J69,J71,J73,J75),"")</f>
        <v/>
      </c>
      <c r="K76" s="376" t="str">
        <f>IF(G3=3,K67+MAX(K69,K71,K73,K75),"")</f>
        <v/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9"/>
      <c r="B77" s="9"/>
      <c r="C77" s="9"/>
      <c r="D77" s="378" t="s">
        <v>643</v>
      </c>
      <c r="E77" s="379" t="s">
        <v>648</v>
      </c>
      <c r="F77" s="376" t="str">
        <f>IF(G3=3,F67+MIN(F69,F71,F73,F75),"")</f>
        <v/>
      </c>
      <c r="G77" s="376" t="str">
        <f>IF(G3=3,G67+MIN(G69,G71,G73,G75),"")</f>
        <v/>
      </c>
      <c r="H77" s="376" t="str">
        <f>IF(G3=3,H67+MIN(H69,H71,H73,H75),"")</f>
        <v/>
      </c>
      <c r="I77" s="376" t="str">
        <f>IF(G3=3,I67+MIN(I69,I71,I73,I75),"")</f>
        <v/>
      </c>
      <c r="J77" s="376" t="str">
        <f>IF(G3=3,J67+MIN(J69,J71,J73,J75),"")</f>
        <v/>
      </c>
      <c r="K77" s="376" t="str">
        <f>IF(G3=3,K67+MIN(K69,K71,K73,K75),"")</f>
        <v/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9"/>
      <c r="B78" s="9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9"/>
      <c r="B79" s="9"/>
      <c r="C79" s="9"/>
      <c r="D79" s="10"/>
      <c r="E79" s="9" t="str">
        <f>IF(G3&lt;&gt;4,"","Bảng 4.1. Tính toán và tổ hợp mômen")</f>
        <v>Bảng 4.1. Tính toán và tổ hợp mômen</v>
      </c>
      <c r="F79" s="10"/>
      <c r="G79" s="10"/>
      <c r="H79" s="10"/>
      <c r="I79" s="10"/>
      <c r="J79" s="183" t="str">
        <f>IF(G3&lt;&gt;4,"","(dầm 4 nhịp)")</f>
        <v>(dầm 4 nhịp)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9"/>
      <c r="B80" s="9"/>
      <c r="C80" s="9"/>
      <c r="D80" s="404" t="s">
        <v>638</v>
      </c>
      <c r="E80" s="112" t="s">
        <v>639</v>
      </c>
      <c r="F80" s="406">
        <v>1.0</v>
      </c>
      <c r="G80" s="406">
        <v>2.0</v>
      </c>
      <c r="H80" s="406" t="s">
        <v>50</v>
      </c>
      <c r="I80" s="406">
        <v>3.0</v>
      </c>
      <c r="J80" s="406">
        <v>4.0</v>
      </c>
      <c r="K80" s="406" t="s">
        <v>668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9"/>
      <c r="B81" s="9"/>
      <c r="C81" s="9"/>
      <c r="D81" s="116" t="s">
        <v>640</v>
      </c>
      <c r="E81" s="118" t="s">
        <v>641</v>
      </c>
      <c r="F81" s="410"/>
      <c r="G81" s="410"/>
      <c r="H81" s="410"/>
      <c r="I81" s="410"/>
      <c r="J81" s="410"/>
      <c r="K81" s="4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9"/>
      <c r="B82" s="9"/>
      <c r="C82" s="9"/>
      <c r="D82" s="406" t="s">
        <v>669</v>
      </c>
      <c r="E82" s="120" t="s">
        <v>496</v>
      </c>
      <c r="F82" s="124">
        <f>IF(G3=4,0.238,"")</f>
        <v>0.238</v>
      </c>
      <c r="G82" s="124">
        <f>IF(G3=4,0.143,"")</f>
        <v>0.143</v>
      </c>
      <c r="H82" s="124">
        <f>IF(G3=4,-0.286,"")</f>
        <v>-0.286</v>
      </c>
      <c r="I82" s="124">
        <f>IF(G3=4,0.079,"")</f>
        <v>0.079</v>
      </c>
      <c r="J82" s="124">
        <f>IF(G3=4,0.111,"")</f>
        <v>0.111</v>
      </c>
      <c r="K82" s="124">
        <f>IF(G3=4,-0.19,"")</f>
        <v>-0.19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9"/>
      <c r="B83" s="9"/>
      <c r="C83" s="9"/>
      <c r="D83" s="410"/>
      <c r="E83" s="233" t="s">
        <v>643</v>
      </c>
      <c r="F83" s="124">
        <f>IF(G3=4,F82*K27,"")</f>
        <v>156.7736483</v>
      </c>
      <c r="G83" s="124">
        <f>IF(G3=4,G82*K27,"")</f>
        <v>94.19593154</v>
      </c>
      <c r="H83" s="124">
        <f>IF(G3=4,H82*K27,"")</f>
        <v>-188.3918631</v>
      </c>
      <c r="I83" s="124">
        <f>IF(G3=4,I82*K27,"")</f>
        <v>52.03831183</v>
      </c>
      <c r="J83" s="124">
        <f>IF(G3=4,J82*K27,"")</f>
        <v>73.11712169</v>
      </c>
      <c r="K83" s="124">
        <f>IF(G3=4,K82*K27,"")</f>
        <v>-125.1554335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9"/>
      <c r="B84" s="9"/>
      <c r="C84" s="9"/>
      <c r="D84" s="406" t="s">
        <v>672</v>
      </c>
      <c r="E84" s="120" t="s">
        <v>496</v>
      </c>
      <c r="F84" s="124">
        <f>IF(G3=4,0.286,"")</f>
        <v>0.286</v>
      </c>
      <c r="G84" s="124">
        <f>IF(G3=4,0.238,"")</f>
        <v>0.238</v>
      </c>
      <c r="H84" s="124">
        <f>IF(G3=4,-0.143,"")</f>
        <v>-0.143</v>
      </c>
      <c r="I84" s="124">
        <f>IF(G3=4,-0.127,"")</f>
        <v>-0.127</v>
      </c>
      <c r="J84" s="124">
        <f>IF(G3=4,-0.111,"")</f>
        <v>-0.111</v>
      </c>
      <c r="K84" s="124">
        <f>IF(G3=4,-0.095,"")</f>
        <v>-0.095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9"/>
      <c r="B85" s="9"/>
      <c r="C85" s="9"/>
      <c r="D85" s="410"/>
      <c r="E85" s="233" t="s">
        <v>643</v>
      </c>
      <c r="F85" s="124">
        <f>IF(G3=4,F84*K31,"")</f>
        <v>223.9410888</v>
      </c>
      <c r="G85" s="124">
        <f>IF(G3=4,G84*K31,"")</f>
        <v>186.3565704</v>
      </c>
      <c r="H85" s="124">
        <f>IF(G3=4,H84*K31,"")</f>
        <v>-111.9705444</v>
      </c>
      <c r="I85" s="124">
        <f>IF(G3=4,I84*K31,"")</f>
        <v>-99.4423716</v>
      </c>
      <c r="J85" s="124">
        <f>IF(G3=4,J84*K31,"")</f>
        <v>-86.9141988</v>
      </c>
      <c r="K85" s="124">
        <f>IF(G3=4,K84*K31,"")</f>
        <v>-74.386026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9"/>
      <c r="B86" s="9"/>
      <c r="C86" s="9"/>
      <c r="D86" s="406" t="s">
        <v>674</v>
      </c>
      <c r="E86" s="120" t="s">
        <v>496</v>
      </c>
      <c r="F86" s="124">
        <f>IF(G3=4,-0.048,"")</f>
        <v>-0.048</v>
      </c>
      <c r="G86" s="124">
        <f>IF(G3=4,-0.095,"")</f>
        <v>-0.095</v>
      </c>
      <c r="H86" s="124">
        <f>IF(G3=4,-0.143,"")</f>
        <v>-0.143</v>
      </c>
      <c r="I86" s="124">
        <f>IF(G3=4,0.206,"")</f>
        <v>0.206</v>
      </c>
      <c r="J86" s="124">
        <f>IF(G3=4,0.222,"")</f>
        <v>0.222</v>
      </c>
      <c r="K86" s="124">
        <f>IF(G3=4,-0.095,"")</f>
        <v>-0.095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9"/>
      <c r="B87" s="9"/>
      <c r="C87" s="9"/>
      <c r="D87" s="410"/>
      <c r="E87" s="233" t="s">
        <v>643</v>
      </c>
      <c r="F87" s="124">
        <f>IF(G3=4,F86*K31,"")</f>
        <v>-37.5845184</v>
      </c>
      <c r="G87" s="124">
        <f>IF(G3=4,G86*K31,"")</f>
        <v>-74.386026</v>
      </c>
      <c r="H87" s="124">
        <f>IF(G3=4,H86*K31,"")</f>
        <v>-111.9705444</v>
      </c>
      <c r="I87" s="124">
        <f>IF(G3=4,I86*K31,"")</f>
        <v>161.3002248</v>
      </c>
      <c r="J87" s="124">
        <f>IF(G3=4,J86*K31,"")</f>
        <v>173.8283976</v>
      </c>
      <c r="K87" s="124">
        <f>IF(G3=4,K86*K31,"")</f>
        <v>-74.386026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9"/>
      <c r="B88" s="9"/>
      <c r="C88" s="9"/>
      <c r="D88" s="406" t="s">
        <v>677</v>
      </c>
      <c r="E88" s="120" t="s">
        <v>496</v>
      </c>
      <c r="F88" s="415" t="str">
        <f>IF(G3=4,"","")</f>
        <v/>
      </c>
      <c r="G88" s="415" t="str">
        <f>IF(G3=4,"","")</f>
        <v/>
      </c>
      <c r="H88" s="124">
        <f>IF(G3=4,-0.321,"")</f>
        <v>-0.321</v>
      </c>
      <c r="I88" s="415" t="str">
        <f>IF(G3=4,"","")</f>
        <v/>
      </c>
      <c r="J88" s="415" t="str">
        <f>IF(G3=4,"","")</f>
        <v/>
      </c>
      <c r="K88" s="124">
        <f>IF(G3=4,-0.048,"")</f>
        <v>-0.048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9"/>
      <c r="B89" s="9"/>
      <c r="C89" s="9"/>
      <c r="D89" s="410"/>
      <c r="E89" s="233" t="s">
        <v>643</v>
      </c>
      <c r="F89" s="415">
        <f>IF(G3=4,I47+H89/3,"")</f>
        <v>177.2214444</v>
      </c>
      <c r="G89" s="415">
        <f>IF(G3=4,I47+H89*2/3,"")</f>
        <v>93.4392888</v>
      </c>
      <c r="H89" s="124">
        <f>IF(G3=4,H88*K31,"")</f>
        <v>-251.3464668</v>
      </c>
      <c r="I89" s="415">
        <f>IF(G3=4,(I47+(H89-K89)*2/3+K89),"")</f>
        <v>80.911116</v>
      </c>
      <c r="J89" s="415">
        <f>IF(G3=4,(I47+(H89-K89)*1/3+K89),"")</f>
        <v>152.1650988</v>
      </c>
      <c r="K89" s="124">
        <f>IF(G3=4,K88*K31,"")</f>
        <v>-37.5845184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9"/>
      <c r="B90" s="9"/>
      <c r="C90" s="9"/>
      <c r="D90" s="406" t="s">
        <v>679</v>
      </c>
      <c r="E90" s="120" t="s">
        <v>496</v>
      </c>
      <c r="F90" s="124">
        <f>IF(G3=4,-0.031,"")</f>
        <v>-0.031</v>
      </c>
      <c r="G90" s="124">
        <f>IF(G3=4,-0.063,"")</f>
        <v>-0.063</v>
      </c>
      <c r="H90" s="124">
        <f>IF(G3=4,-0.095,"")</f>
        <v>-0.095</v>
      </c>
      <c r="I90" s="124" t="str">
        <f>IF(G3=4,"","")</f>
        <v/>
      </c>
      <c r="J90" s="124" t="str">
        <f>IF(G3=4,"","")</f>
        <v/>
      </c>
      <c r="K90" s="124">
        <f>IF(G3=4,-0.286,"")</f>
        <v>-0.286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9"/>
      <c r="B91" s="9"/>
      <c r="C91" s="9"/>
      <c r="D91" s="410"/>
      <c r="E91" s="233" t="s">
        <v>643</v>
      </c>
      <c r="F91" s="124">
        <f>IF(G3=4,F90*K31,"")</f>
        <v>-24.2733348</v>
      </c>
      <c r="G91" s="124">
        <f>IF(G3=4,G90*K31,"")</f>
        <v>-49.3296804</v>
      </c>
      <c r="H91" s="124">
        <f>IF(G3=4,H90*K31,"")</f>
        <v>-74.386026</v>
      </c>
      <c r="I91" s="124">
        <f>IF(G3=4,(I47+(H91-K91)*2/3+K91),"")</f>
        <v>136.7658864</v>
      </c>
      <c r="J91" s="124">
        <f>IF(G3=4,(I47+(H91-K91)*1/3+K91),"")</f>
        <v>86.9141988</v>
      </c>
      <c r="K91" s="124">
        <f>IF(G3=4,K90*K31,"")</f>
        <v>-223.9410888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9"/>
      <c r="B92" s="9"/>
      <c r="C92" s="9"/>
      <c r="D92" s="406" t="s">
        <v>681</v>
      </c>
      <c r="E92" s="120" t="s">
        <v>496</v>
      </c>
      <c r="F92" s="124" t="str">
        <f>IF(G3=4,"","")</f>
        <v/>
      </c>
      <c r="G92" s="124" t="str">
        <f>IF(G3=4,"","")</f>
        <v/>
      </c>
      <c r="H92" s="124">
        <f>IF(G3=4,-0.19,"")</f>
        <v>-0.19</v>
      </c>
      <c r="I92" s="124" t="str">
        <f>IF(G3=4,"","")</f>
        <v/>
      </c>
      <c r="J92" s="124" t="str">
        <f>IF(G3=4,"","")</f>
        <v/>
      </c>
      <c r="K92" s="124">
        <f>IF(G3=4,0.095,"")</f>
        <v>0.095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9"/>
      <c r="B93" s="9"/>
      <c r="C93" s="9"/>
      <c r="D93" s="410"/>
      <c r="E93" s="233" t="s">
        <v>643</v>
      </c>
      <c r="F93" s="415">
        <f>IF(G3=4,I47+H93*1/3,"")</f>
        <v>211.412916</v>
      </c>
      <c r="G93" s="415">
        <f>IF(G3=4,(I47+(H93*2/3)),"")</f>
        <v>161.822232</v>
      </c>
      <c r="H93" s="124">
        <f>IF(G3=4,H92*K31,"")</f>
        <v>-148.772052</v>
      </c>
      <c r="I93" s="415">
        <f>IF(G3=4,H93/2,"")</f>
        <v>-74.386026</v>
      </c>
      <c r="J93" s="418">
        <f>IF(G3=4,0,"")</f>
        <v>0</v>
      </c>
      <c r="K93" s="124">
        <f>IF(G3=4,K92*K31,"")</f>
        <v>74.386026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9"/>
      <c r="B94" s="9"/>
      <c r="C94" s="9"/>
      <c r="D94" s="406" t="s">
        <v>683</v>
      </c>
      <c r="E94" s="120" t="s">
        <v>496</v>
      </c>
      <c r="F94" s="124" t="str">
        <f>IF(G3=4,"","")</f>
        <v/>
      </c>
      <c r="G94" s="124" t="str">
        <f>IF(G15=4,"","")</f>
        <v/>
      </c>
      <c r="H94" s="124">
        <f>IF(G3=4,0.036,"")</f>
        <v>0.036</v>
      </c>
      <c r="I94" s="124" t="str">
        <f>IF(G3=4,"","")</f>
        <v/>
      </c>
      <c r="J94" s="124" t="str">
        <f>IF(G3=4,"","")</f>
        <v/>
      </c>
      <c r="K94" s="124">
        <f>IF(G3=4,-0.143,"")</f>
        <v>-0.143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9"/>
      <c r="B95" s="9"/>
      <c r="C95" s="9"/>
      <c r="D95" s="421"/>
      <c r="E95" s="233" t="s">
        <v>643</v>
      </c>
      <c r="F95" s="415">
        <f>IF(G3=4,H95/3,"")</f>
        <v>9.3961296</v>
      </c>
      <c r="G95" s="415">
        <f>IF(G3=4,2*H95/3,"")</f>
        <v>18.7922592</v>
      </c>
      <c r="H95" s="124">
        <f>IF(G3=4,H94*K31,"")</f>
        <v>28.1883888</v>
      </c>
      <c r="I95" s="415">
        <f>IF(G3=4,-G95,"")</f>
        <v>-18.7922592</v>
      </c>
      <c r="J95" s="415">
        <f>IF(G3=4,2*I95-H95,"")</f>
        <v>-65.7729072</v>
      </c>
      <c r="K95" s="124">
        <f>IF(G3=4,3*I95-2*H95,"")</f>
        <v>-112.7535552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9"/>
      <c r="B96" s="9"/>
      <c r="C96" s="9"/>
      <c r="D96" s="113" t="s">
        <v>643</v>
      </c>
      <c r="E96" s="423" t="s">
        <v>645</v>
      </c>
      <c r="F96" s="124">
        <f>IF(G3=4,F83+MAX(F85,F87,F89,F91,F93,F95),"")</f>
        <v>380.7147371</v>
      </c>
      <c r="G96" s="124">
        <f>IF(G3=4,G83+MAX(G85,G87,G89,G91,G93,G95),"")</f>
        <v>280.5525019</v>
      </c>
      <c r="H96" s="124">
        <f>IF(G3=4,H83+MAX(H85,H87,H89,H91,H93,H95),"")</f>
        <v>-160.2034743</v>
      </c>
      <c r="I96" s="124">
        <f>IF(G3=4,I83+MAX(I85,I87,I89,I91,I93,I95),"")</f>
        <v>213.3385366</v>
      </c>
      <c r="J96" s="124">
        <f>IF(G3=4,J83+MAX(J85,J87,J89,J91,J93,J95),"")</f>
        <v>246.9455193</v>
      </c>
      <c r="K96" s="124">
        <f>IF(G3=4,K83+MAX(K85,K87,K89,K91,K93,K95),"")</f>
        <v>-50.76940752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9"/>
      <c r="B97" s="9"/>
      <c r="C97" s="9"/>
      <c r="D97" s="113" t="s">
        <v>643</v>
      </c>
      <c r="E97" s="423" t="s">
        <v>648</v>
      </c>
      <c r="F97" s="124">
        <f>IF(G3=4,F83+MIN(F85,F87,F89,F91,F93,F95),"")</f>
        <v>119.1891299</v>
      </c>
      <c r="G97" s="124">
        <f>IF(G3=4,G83+MIN(G85,G87,G89,G91,G93,G95),"")</f>
        <v>19.80990554</v>
      </c>
      <c r="H97" s="124">
        <f>IF(G3=4,H83+MIN(H85,H87,H89,H91,H93,H95),"")</f>
        <v>-439.7383299</v>
      </c>
      <c r="I97" s="124">
        <f>IF(G3=4,I83+MIN(I85,I87,I89,I91,I93,I95),"")</f>
        <v>-47.40405977</v>
      </c>
      <c r="J97" s="124">
        <f>IF(G3=4,J83+MIN(J85,J87,J89,J91,J93,J95),"")</f>
        <v>-13.79707711</v>
      </c>
      <c r="K97" s="124">
        <f>IF(G3=4,K83+MIN(K85,K87,K89,K91,K93,K95),"")</f>
        <v>-349.0965223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9"/>
      <c r="B98" s="9"/>
      <c r="C98" s="9"/>
      <c r="D98" s="47"/>
      <c r="E98" s="171"/>
      <c r="F98" s="247"/>
      <c r="G98" s="247"/>
      <c r="H98" s="247"/>
      <c r="I98" s="247"/>
      <c r="J98" s="247"/>
      <c r="K98" s="247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9"/>
      <c r="B99" s="9"/>
      <c r="C99" s="9"/>
      <c r="D99" s="426"/>
      <c r="E99" s="427"/>
      <c r="F99" s="428"/>
      <c r="G99" s="428"/>
      <c r="H99" s="428"/>
      <c r="I99" s="428"/>
      <c r="J99" s="428"/>
      <c r="K99" s="42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9"/>
      <c r="B100" s="9"/>
      <c r="C100" s="9"/>
      <c r="D100" s="430"/>
      <c r="E100" s="431"/>
      <c r="F100" s="110"/>
      <c r="G100" s="110"/>
      <c r="H100" s="110"/>
      <c r="I100" s="110"/>
      <c r="J100" s="110"/>
      <c r="K100" s="433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9"/>
      <c r="B101" s="9"/>
      <c r="C101" s="9"/>
      <c r="D101" s="430"/>
      <c r="E101" s="431"/>
      <c r="F101" s="110"/>
      <c r="G101" s="110"/>
      <c r="H101" s="110"/>
      <c r="I101" s="110"/>
      <c r="J101" s="110"/>
      <c r="K101" s="433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9"/>
      <c r="B102" s="9"/>
      <c r="C102" s="9"/>
      <c r="D102" s="430"/>
      <c r="E102" s="431"/>
      <c r="F102" s="110"/>
      <c r="G102" s="110"/>
      <c r="H102" s="110"/>
      <c r="I102" s="110"/>
      <c r="J102" s="110"/>
      <c r="K102" s="433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9"/>
      <c r="B103" s="9"/>
      <c r="C103" s="9"/>
      <c r="D103" s="430"/>
      <c r="E103" s="431"/>
      <c r="F103" s="110"/>
      <c r="G103" s="110"/>
      <c r="H103" s="110"/>
      <c r="I103" s="110"/>
      <c r="J103" s="110"/>
      <c r="K103" s="433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9"/>
      <c r="B104" s="9"/>
      <c r="C104" s="9"/>
      <c r="D104" s="430"/>
      <c r="E104" s="431"/>
      <c r="F104" s="110"/>
      <c r="G104" s="110"/>
      <c r="H104" s="110"/>
      <c r="I104" s="110"/>
      <c r="J104" s="110"/>
      <c r="K104" s="433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9"/>
      <c r="B105" s="9"/>
      <c r="C105" s="9"/>
      <c r="D105" s="430"/>
      <c r="E105" s="431"/>
      <c r="F105" s="110"/>
      <c r="G105" s="110"/>
      <c r="H105" s="110"/>
      <c r="I105" s="110"/>
      <c r="J105" s="110"/>
      <c r="K105" s="433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9"/>
      <c r="B106" s="9"/>
      <c r="C106" s="9"/>
      <c r="D106" s="430"/>
      <c r="E106" s="431"/>
      <c r="F106" s="110"/>
      <c r="G106" s="110"/>
      <c r="H106" s="110"/>
      <c r="I106" s="110"/>
      <c r="J106" s="110"/>
      <c r="K106" s="433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9"/>
      <c r="B107" s="9"/>
      <c r="C107" s="9"/>
      <c r="D107" s="430"/>
      <c r="E107" s="431"/>
      <c r="F107" s="110"/>
      <c r="G107" s="110"/>
      <c r="H107" s="110"/>
      <c r="I107" s="110"/>
      <c r="J107" s="110"/>
      <c r="K107" s="433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9"/>
      <c r="B108" s="9"/>
      <c r="C108" s="9"/>
      <c r="D108" s="430"/>
      <c r="E108" s="431"/>
      <c r="F108" s="110"/>
      <c r="G108" s="110"/>
      <c r="H108" s="110"/>
      <c r="I108" s="110"/>
      <c r="J108" s="110"/>
      <c r="K108" s="433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9"/>
      <c r="B109" s="9"/>
      <c r="C109" s="9"/>
      <c r="D109" s="430"/>
      <c r="E109" s="431"/>
      <c r="F109" s="110"/>
      <c r="G109" s="110"/>
      <c r="H109" s="110"/>
      <c r="I109" s="110"/>
      <c r="J109" s="110"/>
      <c r="K109" s="433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9"/>
      <c r="B110" s="9"/>
      <c r="C110" s="9"/>
      <c r="D110" s="430"/>
      <c r="E110" s="431"/>
      <c r="F110" s="110"/>
      <c r="G110" s="110"/>
      <c r="H110" s="110"/>
      <c r="I110" s="110"/>
      <c r="J110" s="110"/>
      <c r="K110" s="433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9"/>
      <c r="B111" s="9"/>
      <c r="C111" s="9"/>
      <c r="D111" s="430"/>
      <c r="E111" s="431"/>
      <c r="F111" s="110"/>
      <c r="G111" s="110"/>
      <c r="H111" s="110"/>
      <c r="I111" s="110"/>
      <c r="J111" s="110"/>
      <c r="K111" s="433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9"/>
      <c r="B112" s="9"/>
      <c r="C112" s="9"/>
      <c r="D112" s="430"/>
      <c r="E112" s="431"/>
      <c r="F112" s="110"/>
      <c r="G112" s="110"/>
      <c r="H112" s="110"/>
      <c r="I112" s="110"/>
      <c r="J112" s="110"/>
      <c r="K112" s="433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9"/>
      <c r="B113" s="9"/>
      <c r="C113" s="9"/>
      <c r="D113" s="430"/>
      <c r="E113" s="431"/>
      <c r="F113" s="110"/>
      <c r="G113" s="110"/>
      <c r="H113" s="110"/>
      <c r="I113" s="110"/>
      <c r="J113" s="110"/>
      <c r="K113" s="433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9"/>
      <c r="B114" s="9"/>
      <c r="C114" s="9"/>
      <c r="D114" s="430"/>
      <c r="E114" s="431"/>
      <c r="F114" s="110"/>
      <c r="G114" s="110"/>
      <c r="H114" s="110"/>
      <c r="I114" s="110"/>
      <c r="J114" s="110"/>
      <c r="K114" s="433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9"/>
      <c r="B115" s="9"/>
      <c r="C115" s="9"/>
      <c r="D115" s="430"/>
      <c r="E115" s="431"/>
      <c r="F115" s="110"/>
      <c r="G115" s="110"/>
      <c r="H115" s="110"/>
      <c r="I115" s="110"/>
      <c r="J115" s="110"/>
      <c r="K115" s="433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9"/>
      <c r="B116" s="9"/>
      <c r="C116" s="9"/>
      <c r="D116" s="430"/>
      <c r="E116" s="431"/>
      <c r="F116" s="110"/>
      <c r="G116" s="110"/>
      <c r="H116" s="110"/>
      <c r="I116" s="110"/>
      <c r="J116" s="110"/>
      <c r="K116" s="433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9"/>
      <c r="B117" s="9"/>
      <c r="C117" s="9"/>
      <c r="D117" s="430"/>
      <c r="E117" s="431"/>
      <c r="F117" s="110"/>
      <c r="G117" s="110"/>
      <c r="H117" s="110"/>
      <c r="I117" s="110"/>
      <c r="J117" s="110"/>
      <c r="K117" s="433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9"/>
      <c r="B118" s="9"/>
      <c r="C118" s="9"/>
      <c r="D118" s="430"/>
      <c r="E118" s="431"/>
      <c r="F118" s="110"/>
      <c r="G118" s="110"/>
      <c r="H118" s="110"/>
      <c r="I118" s="110"/>
      <c r="J118" s="110"/>
      <c r="K118" s="433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9"/>
      <c r="B119" s="9"/>
      <c r="C119" s="9"/>
      <c r="D119" s="362"/>
      <c r="E119" s="363"/>
      <c r="F119" s="363"/>
      <c r="G119" s="363"/>
      <c r="H119" s="363"/>
      <c r="I119" s="363"/>
      <c r="J119" s="363"/>
      <c r="K119" s="365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9"/>
      <c r="B120" s="9"/>
      <c r="C120" s="9"/>
      <c r="D120" s="10" t="s">
        <v>701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9"/>
      <c r="B121" s="9"/>
      <c r="C121" s="9"/>
      <c r="D121" s="10" t="s">
        <v>702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9"/>
      <c r="B122" s="9"/>
      <c r="C122" s="9"/>
      <c r="D122" s="10"/>
      <c r="E122" s="246" t="s">
        <v>703</v>
      </c>
      <c r="F122" s="10"/>
      <c r="G122" s="10"/>
      <c r="H122" s="246" t="s">
        <v>704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9"/>
      <c r="B123" s="9"/>
      <c r="C123" s="9"/>
      <c r="D123" s="10" t="s">
        <v>705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9"/>
      <c r="B124" s="9"/>
      <c r="C124" s="9"/>
      <c r="D124" s="10" t="s">
        <v>24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9"/>
      <c r="B125" s="9"/>
      <c r="C125" s="9"/>
      <c r="D125" s="10" t="s">
        <v>24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9"/>
      <c r="B126" s="9"/>
      <c r="C126" s="9"/>
      <c r="D126" s="10" t="s">
        <v>24</v>
      </c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9"/>
      <c r="B127" s="9"/>
      <c r="C127" s="9"/>
      <c r="D127" s="10" t="s">
        <v>706</v>
      </c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9"/>
      <c r="B128" s="9"/>
      <c r="C128" s="9"/>
      <c r="D128" s="10" t="s">
        <v>707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9"/>
      <c r="B129" s="9"/>
      <c r="C129" s="9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9"/>
      <c r="B130" s="9"/>
      <c r="C130" s="9"/>
      <c r="D130" s="10"/>
      <c r="E130" s="29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9"/>
      <c r="B131" s="9"/>
      <c r="C131" s="9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9"/>
      <c r="B132" s="9"/>
      <c r="C132" s="9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9"/>
      <c r="B133" s="9"/>
      <c r="C133" s="9"/>
      <c r="D133" s="10"/>
      <c r="E133" s="10" t="s">
        <v>708</v>
      </c>
      <c r="F133" s="247">
        <f>IF(G3=3,I67,IF(G3=4,I83))</f>
        <v>52.03831183</v>
      </c>
      <c r="G133" s="18" t="s">
        <v>89</v>
      </c>
      <c r="H133" s="247">
        <f>IF(G3=3,I73,IF(G3=4,I89))</f>
        <v>80.911116</v>
      </c>
      <c r="I133" s="18" t="s">
        <v>40</v>
      </c>
      <c r="J133" s="93">
        <f>F133+H133</f>
        <v>132.9494278</v>
      </c>
      <c r="K133" s="10" t="s">
        <v>450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9"/>
      <c r="B134" s="9"/>
      <c r="C134" s="9"/>
      <c r="D134" s="10"/>
      <c r="E134" s="10"/>
      <c r="F134" s="10"/>
      <c r="G134" s="47">
        <f>'Nhập dữ liệu'!E13/1000</f>
        <v>0.4</v>
      </c>
      <c r="H134" s="18" t="s">
        <v>709</v>
      </c>
      <c r="I134" s="93">
        <f>F135</f>
        <v>439.7383299</v>
      </c>
      <c r="J134" s="30" t="s">
        <v>89</v>
      </c>
      <c r="K134" s="93">
        <f>J133</f>
        <v>132.9494278</v>
      </c>
      <c r="L134" s="10" t="s">
        <v>324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9"/>
      <c r="B135" s="9"/>
      <c r="C135" s="9"/>
      <c r="D135" s="10"/>
      <c r="E135" s="29"/>
      <c r="F135" s="247">
        <f>IF(G3=3,ABS(H77),IF(G3=4,ABS(H97)))</f>
        <v>439.7383299</v>
      </c>
      <c r="G135" s="10" t="s">
        <v>710</v>
      </c>
      <c r="H135" s="10"/>
      <c r="I135" s="10"/>
      <c r="J135" s="10"/>
      <c r="K135" s="10"/>
      <c r="L135" s="10"/>
      <c r="M135" s="93">
        <f>F135-(G134*(I134+K134)/(2*J136))</f>
        <v>395.6854254</v>
      </c>
      <c r="N135" s="10" t="s">
        <v>450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9"/>
      <c r="B136" s="9"/>
      <c r="C136" s="9"/>
      <c r="D136" s="10"/>
      <c r="E136" s="10"/>
      <c r="F136" s="10"/>
      <c r="G136" s="10"/>
      <c r="H136" s="10"/>
      <c r="I136" s="30" t="s">
        <v>711</v>
      </c>
      <c r="J136" s="10">
        <f>'Nhập dữ liệu'!B13</f>
        <v>2.6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9"/>
      <c r="B137" s="9"/>
      <c r="C137" s="9"/>
      <c r="D137" s="10" t="s">
        <v>24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9"/>
      <c r="B138" s="9"/>
      <c r="C138" s="9"/>
      <c r="D138" s="10" t="s">
        <v>24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9"/>
      <c r="B139" s="9"/>
      <c r="C139" s="9"/>
      <c r="D139" s="10" t="str">
        <f>IF(G3&gt;3,"Tương tự tại gối C: ","")</f>
        <v>Tương tự tại gối C: 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9"/>
      <c r="B140" s="9"/>
      <c r="C140" s="9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9"/>
      <c r="B141" s="9"/>
      <c r="C141" s="9"/>
      <c r="D141" s="10"/>
      <c r="E141" s="246" t="str">
        <f>IF(G3=4,"M4 =","")</f>
        <v>M4 =</v>
      </c>
      <c r="F141" s="247">
        <f>IF(G3=4,J83,"")</f>
        <v>73.11712169</v>
      </c>
      <c r="G141" s="18" t="str">
        <f>IF(G3=4,"+","")</f>
        <v>+</v>
      </c>
      <c r="H141" s="247">
        <f>IF(G3=4,J89,"")</f>
        <v>152.1650988</v>
      </c>
      <c r="I141" s="18" t="str">
        <f>IF(G3=4,"=","")</f>
        <v>=</v>
      </c>
      <c r="J141" s="93">
        <f>IF(G3=4,F141+H141,"")</f>
        <v>225.2822205</v>
      </c>
      <c r="K141" s="10" t="str">
        <f>IF(G3=4,"kNm;","")</f>
        <v>kNm;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9"/>
      <c r="B142" s="9"/>
      <c r="C142" s="9"/>
      <c r="D142" s="10"/>
      <c r="E142" s="10"/>
      <c r="F142" s="10"/>
      <c r="G142" s="47">
        <f>IF(G3=4,'Nhập dữ liệu'!E13/1000,"")</f>
        <v>0.4</v>
      </c>
      <c r="H142" s="18" t="str">
        <f>IF(G3=4,".(","")</f>
        <v>.(</v>
      </c>
      <c r="I142" s="93">
        <f>IF(G3=4,F143,"")</f>
        <v>349.0965223</v>
      </c>
      <c r="J142" s="18" t="str">
        <f>IF(G3=4,"+","")</f>
        <v>+</v>
      </c>
      <c r="K142" s="93">
        <f>IF(G3=4,J141,"")</f>
        <v>225.2822205</v>
      </c>
      <c r="L142" s="10" t="str">
        <f>IF(G3=4,")","")</f>
        <v>)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9"/>
      <c r="B143" s="9"/>
      <c r="C143" s="9"/>
      <c r="D143" s="10"/>
      <c r="E143" s="29"/>
      <c r="F143" s="247">
        <f>IF(G3=4,ABS(K97),"")</f>
        <v>349.0965223</v>
      </c>
      <c r="G143" s="10" t="str">
        <f>IF(G3=4,"-   ------------------------------------------------------------------------------   =","")</f>
        <v>-   ------------------------------------------------------------------------------   =</v>
      </c>
      <c r="H143" s="10"/>
      <c r="I143" s="10"/>
      <c r="J143" s="10"/>
      <c r="K143" s="10"/>
      <c r="L143" s="10"/>
      <c r="M143" s="93">
        <f>IF(G3=4,F143-(G142*(I142+K142)/(2*J144)),"")</f>
        <v>304.9135421</v>
      </c>
      <c r="N143" s="10" t="str">
        <f>IF(G3=4,"kNm.","")</f>
        <v>kNm.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9"/>
      <c r="B144" s="9"/>
      <c r="C144" s="9"/>
      <c r="D144" s="10"/>
      <c r="E144" s="10"/>
      <c r="F144" s="10"/>
      <c r="G144" s="10"/>
      <c r="H144" s="10"/>
      <c r="I144" s="18" t="str">
        <f>IF(G3=4,"2 .","")</f>
        <v>2 .</v>
      </c>
      <c r="J144" s="10">
        <f>IF(G3=4,'Nhập dữ liệu'!B13,"")</f>
        <v>2.6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9"/>
      <c r="B145" s="9"/>
      <c r="C145" s="9" t="s">
        <v>713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9"/>
      <c r="B146" s="9"/>
      <c r="C146" s="9"/>
      <c r="D146" s="10" t="s">
        <v>714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9"/>
      <c r="B147" s="9"/>
      <c r="C147" s="9"/>
      <c r="D147" s="10" t="s">
        <v>715</v>
      </c>
      <c r="E147" s="10"/>
      <c r="F147" s="10"/>
      <c r="G147" s="10"/>
      <c r="H147" s="93">
        <f>J19</f>
        <v>84.45036</v>
      </c>
      <c r="I147" s="17" t="s">
        <v>716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9"/>
      <c r="B148" s="9"/>
      <c r="C148" s="9"/>
      <c r="D148" s="10" t="s">
        <v>717</v>
      </c>
      <c r="E148" s="10"/>
      <c r="F148" s="10"/>
      <c r="G148" s="10"/>
      <c r="H148" s="10">
        <f>I21</f>
        <v>100.386</v>
      </c>
      <c r="I148" s="10" t="s">
        <v>716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9"/>
      <c r="B149" s="9"/>
      <c r="C149" s="9"/>
      <c r="D149" s="10" t="s">
        <v>718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9"/>
      <c r="B150" s="9"/>
      <c r="C150" s="9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9"/>
      <c r="B151" s="9"/>
      <c r="C151" s="9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9"/>
      <c r="B152" s="9"/>
      <c r="C152" s="9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9"/>
      <c r="B153" s="9"/>
      <c r="C153" s="9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9"/>
      <c r="B154" s="9"/>
      <c r="C154" s="9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9"/>
      <c r="B155" s="9"/>
      <c r="C155" s="9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9"/>
      <c r="B156" s="9"/>
      <c r="C156" s="9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9"/>
      <c r="B157" s="9"/>
      <c r="C157" s="9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9"/>
      <c r="B158" s="9"/>
      <c r="C158" s="9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9"/>
      <c r="B159" s="9"/>
      <c r="C159" s="9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9"/>
      <c r="B160" s="9"/>
      <c r="C160" s="9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9"/>
      <c r="B161" s="9"/>
      <c r="C161" s="9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9"/>
      <c r="B162" s="9"/>
      <c r="C162" s="9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9"/>
      <c r="B163" s="9"/>
      <c r="C163" s="9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9"/>
      <c r="B164" s="9"/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9"/>
      <c r="B165" s="9"/>
      <c r="C165" s="9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9"/>
      <c r="B166" s="9"/>
      <c r="C166" s="9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9"/>
      <c r="B167" s="9"/>
      <c r="C167" s="9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9"/>
      <c r="B168" s="9"/>
      <c r="C168" s="9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9"/>
      <c r="B169" s="9"/>
      <c r="C169" s="9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9"/>
      <c r="B170" s="9"/>
      <c r="C170" s="9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9"/>
      <c r="B171" s="9"/>
      <c r="C171" s="9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9"/>
      <c r="B172" s="9"/>
      <c r="C172" s="9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9"/>
      <c r="B173" s="9"/>
      <c r="C173" s="9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9"/>
      <c r="B174" s="9"/>
      <c r="C174" s="9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9"/>
      <c r="B175" s="9"/>
      <c r="C175" s="9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9"/>
      <c r="B176" s="9"/>
      <c r="C176" s="9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9"/>
      <c r="B177" s="9"/>
      <c r="C177" s="9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9"/>
      <c r="B178" s="9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9"/>
      <c r="B179" s="9"/>
      <c r="C179" s="9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9"/>
      <c r="B180" s="9"/>
      <c r="C180" s="9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9"/>
      <c r="B181" s="9"/>
      <c r="C181" s="9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9"/>
      <c r="B182" s="9"/>
      <c r="C182" s="9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9"/>
      <c r="B183" s="9"/>
      <c r="C183" s="9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9"/>
      <c r="B184" s="9"/>
      <c r="C184" s="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9"/>
      <c r="B185" s="9"/>
      <c r="C185" s="9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9"/>
      <c r="B186" s="9"/>
      <c r="C186" s="9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9"/>
      <c r="B187" s="9"/>
      <c r="C187" s="9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9"/>
      <c r="B188" s="9"/>
      <c r="C188" s="9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9"/>
      <c r="B189" s="9"/>
      <c r="C189" s="9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9"/>
      <c r="B190" s="9"/>
      <c r="C190" s="9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9"/>
      <c r="B191" s="9"/>
      <c r="C191" s="9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9"/>
      <c r="B192" s="9"/>
      <c r="C192" s="9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9"/>
      <c r="B193" s="9"/>
      <c r="C193" s="9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9"/>
      <c r="B194" s="9"/>
      <c r="C194" s="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9"/>
      <c r="B195" s="9"/>
      <c r="C195" s="9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9"/>
      <c r="B196" s="9"/>
      <c r="C196" s="9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9"/>
      <c r="B197" s="9"/>
      <c r="C197" s="9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9"/>
      <c r="B198" s="9"/>
      <c r="C198" s="9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9"/>
      <c r="B199" s="9"/>
      <c r="C199" s="9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9"/>
      <c r="B200" s="9"/>
      <c r="C200" s="9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9"/>
      <c r="B201" s="9"/>
      <c r="C201" s="9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9"/>
      <c r="B202" s="9"/>
      <c r="C202" s="9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9"/>
      <c r="B203" s="9"/>
      <c r="C203" s="9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9"/>
      <c r="B204" s="9"/>
      <c r="C204" s="9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9"/>
      <c r="B205" s="9"/>
      <c r="C205" s="9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9"/>
      <c r="B206" s="9"/>
      <c r="C206" s="9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9"/>
      <c r="B207" s="9"/>
      <c r="C207" s="9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9"/>
      <c r="B208" s="9"/>
      <c r="C208" s="9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9"/>
      <c r="B209" s="9"/>
      <c r="C209" s="9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9"/>
      <c r="B210" s="9"/>
      <c r="C210" s="9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9"/>
      <c r="B211" s="9"/>
      <c r="C211" s="9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9"/>
      <c r="B212" s="9"/>
      <c r="C212" s="9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9"/>
      <c r="B213" s="9"/>
      <c r="C213" s="9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9"/>
      <c r="B214" s="9"/>
      <c r="C214" s="9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9"/>
      <c r="B215" s="9"/>
      <c r="C215" s="9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9"/>
      <c r="B216" s="9"/>
      <c r="C216" s="9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9"/>
      <c r="B217" s="9"/>
      <c r="C217" s="9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9"/>
      <c r="B218" s="9"/>
      <c r="C218" s="9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9"/>
      <c r="B219" s="9"/>
      <c r="C219" s="9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9"/>
      <c r="B220" s="9"/>
      <c r="C220" s="9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9"/>
      <c r="B221" s="9"/>
      <c r="C221" s="9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9"/>
      <c r="B222" s="9"/>
      <c r="C222" s="9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9"/>
      <c r="B223" s="9"/>
      <c r="C223" s="9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9"/>
      <c r="B224" s="9"/>
      <c r="C224" s="9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9"/>
      <c r="B225" s="9"/>
      <c r="C225" s="9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9"/>
      <c r="B226" s="9"/>
      <c r="C226" s="9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9"/>
      <c r="B227" s="9"/>
      <c r="C227" s="9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9"/>
      <c r="B228" s="9"/>
      <c r="C228" s="9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9"/>
      <c r="B229" s="9"/>
      <c r="C229" s="9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9"/>
      <c r="B230" s="9"/>
      <c r="C230" s="9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9"/>
      <c r="B231" s="9"/>
      <c r="C231" s="9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9"/>
      <c r="B232" s="9"/>
      <c r="C232" s="9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9"/>
      <c r="B233" s="9"/>
      <c r="C233" s="9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9"/>
      <c r="B234" s="9"/>
      <c r="C234" s="9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9"/>
      <c r="B235" s="9"/>
      <c r="C235" s="9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9"/>
      <c r="B236" s="9"/>
      <c r="C236" s="9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9"/>
      <c r="B237" s="9"/>
      <c r="C237" s="9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9"/>
      <c r="B238" s="9"/>
      <c r="C238" s="9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9"/>
      <c r="B239" s="9"/>
      <c r="C239" s="9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9"/>
      <c r="B240" s="9"/>
      <c r="C240" s="9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9"/>
      <c r="B241" s="9"/>
      <c r="C241" s="9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9"/>
      <c r="B242" s="9"/>
      <c r="C242" s="9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9"/>
      <c r="B243" s="9"/>
      <c r="C243" s="9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9"/>
      <c r="B244" s="9"/>
      <c r="C244" s="9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9"/>
      <c r="B245" s="9"/>
      <c r="C245" s="9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9"/>
      <c r="B246" s="9"/>
      <c r="C246" s="9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9"/>
      <c r="B247" s="9"/>
      <c r="C247" s="9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9"/>
      <c r="B248" s="9"/>
      <c r="C248" s="9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9"/>
      <c r="B249" s="9"/>
      <c r="C249" s="9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9"/>
      <c r="B250" s="9"/>
      <c r="C250" s="9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9"/>
      <c r="B251" s="9"/>
      <c r="C251" s="9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9"/>
      <c r="B252" s="9"/>
      <c r="C252" s="9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9"/>
      <c r="B253" s="9"/>
      <c r="C253" s="9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9"/>
      <c r="B254" s="9"/>
      <c r="C254" s="9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9"/>
      <c r="B255" s="9"/>
      <c r="C255" s="9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9"/>
      <c r="B256" s="9"/>
      <c r="C256" s="9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9"/>
      <c r="B257" s="9"/>
      <c r="C257" s="9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9"/>
      <c r="B258" s="9"/>
      <c r="C258" s="9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9"/>
      <c r="B259" s="9"/>
      <c r="C259" s="9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9"/>
      <c r="B260" s="9"/>
      <c r="C260" s="9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9"/>
      <c r="B261" s="9"/>
      <c r="C261" s="9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9"/>
      <c r="B262" s="9"/>
      <c r="C262" s="9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9"/>
      <c r="B263" s="9"/>
      <c r="C263" s="9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9"/>
      <c r="B264" s="9"/>
      <c r="C264" s="9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9"/>
      <c r="B265" s="9"/>
      <c r="C265" s="9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9"/>
      <c r="B266" s="9"/>
      <c r="C266" s="9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9"/>
      <c r="B267" s="9"/>
      <c r="C267" s="9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9"/>
      <c r="B268" s="9"/>
      <c r="C268" s="9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9"/>
      <c r="B269" s="9"/>
      <c r="C269" s="9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9"/>
      <c r="B270" s="9"/>
      <c r="C270" s="9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9"/>
      <c r="B271" s="9"/>
      <c r="C271" s="9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9"/>
      <c r="B272" s="9"/>
      <c r="C272" s="9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9"/>
      <c r="B273" s="9"/>
      <c r="C273" s="9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9"/>
      <c r="B274" s="9"/>
      <c r="C274" s="9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9"/>
      <c r="B275" s="9"/>
      <c r="C275" s="9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9"/>
      <c r="B276" s="9"/>
      <c r="C276" s="9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9"/>
      <c r="B277" s="9"/>
      <c r="C277" s="9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9"/>
      <c r="B278" s="9"/>
      <c r="C278" s="9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9"/>
      <c r="B279" s="9"/>
      <c r="C279" s="9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9"/>
      <c r="B280" s="9"/>
      <c r="C280" s="9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9"/>
      <c r="B281" s="9"/>
      <c r="C281" s="9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9"/>
      <c r="B282" s="9"/>
      <c r="C282" s="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9"/>
      <c r="B283" s="9"/>
      <c r="C283" s="9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9"/>
      <c r="B284" s="9"/>
      <c r="C284" s="9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9"/>
      <c r="B285" s="9"/>
      <c r="C285" s="9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9"/>
      <c r="B286" s="9"/>
      <c r="C286" s="9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9"/>
      <c r="B287" s="9"/>
      <c r="C287" s="9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9"/>
      <c r="B288" s="9"/>
      <c r="C288" s="9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9"/>
      <c r="B289" s="9"/>
      <c r="C289" s="9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9"/>
      <c r="B290" s="9"/>
      <c r="C290" s="9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9"/>
      <c r="B291" s="9"/>
      <c r="C291" s="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9"/>
      <c r="B292" s="9"/>
      <c r="C292" s="9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9"/>
      <c r="B293" s="9"/>
      <c r="C293" s="9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9"/>
      <c r="B294" s="9"/>
      <c r="C294" s="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9"/>
      <c r="B295" s="9"/>
      <c r="C295" s="9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9"/>
      <c r="B296" s="9"/>
      <c r="C296" s="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9"/>
      <c r="B297" s="9"/>
      <c r="C297" s="9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9"/>
      <c r="B298" s="9"/>
      <c r="C298" s="9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9"/>
      <c r="B299" s="9"/>
      <c r="C299" s="9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9"/>
      <c r="B300" s="9"/>
      <c r="C300" s="9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9"/>
      <c r="B301" s="9"/>
      <c r="C301" s="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9"/>
      <c r="B302" s="9"/>
      <c r="C302" s="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9"/>
      <c r="B303" s="9"/>
      <c r="C303" s="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9"/>
      <c r="B304" s="9"/>
      <c r="C304" s="9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9"/>
      <c r="B305" s="9"/>
      <c r="C305" s="9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9"/>
      <c r="B306" s="9"/>
      <c r="C306" s="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9"/>
      <c r="B307" s="9"/>
      <c r="C307" s="9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9"/>
      <c r="B308" s="9"/>
      <c r="C308" s="9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9"/>
      <c r="B309" s="9"/>
      <c r="C309" s="9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9"/>
      <c r="B310" s="9"/>
      <c r="C310" s="9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9"/>
      <c r="B311" s="9"/>
      <c r="C311" s="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9"/>
      <c r="B312" s="9"/>
      <c r="C312" s="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9"/>
      <c r="B313" s="9"/>
      <c r="C313" s="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9"/>
      <c r="B314" s="9"/>
      <c r="C314" s="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9"/>
      <c r="B315" s="9"/>
      <c r="C315" s="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9"/>
      <c r="B316" s="9"/>
      <c r="C316" s="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9"/>
      <c r="B317" s="9"/>
      <c r="C317" s="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9"/>
      <c r="B318" s="9"/>
      <c r="C318" s="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9"/>
      <c r="B319" s="9"/>
      <c r="C319" s="9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9"/>
      <c r="B320" s="9"/>
      <c r="C320" s="9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9"/>
      <c r="B321" s="9"/>
      <c r="C321" s="9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9"/>
      <c r="B322" s="9"/>
      <c r="C322" s="9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9"/>
      <c r="B323" s="9"/>
      <c r="C323" s="9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9"/>
      <c r="B324" s="9"/>
      <c r="C324" s="9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9"/>
      <c r="B325" s="9"/>
      <c r="C325" s="9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9"/>
      <c r="B326" s="9"/>
      <c r="C326" s="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9"/>
      <c r="B327" s="9"/>
      <c r="C327" s="9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9"/>
      <c r="B328" s="9"/>
      <c r="C328" s="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9"/>
      <c r="B329" s="9"/>
      <c r="C329" s="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9"/>
      <c r="B330" s="9"/>
      <c r="C330" s="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9"/>
      <c r="B331" s="9"/>
      <c r="C331" s="9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9"/>
      <c r="B332" s="9"/>
      <c r="C332" s="9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9"/>
      <c r="B333" s="9"/>
      <c r="C333" s="9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9"/>
      <c r="B334" s="9"/>
      <c r="C334" s="9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9"/>
      <c r="B335" s="9"/>
      <c r="C335" s="9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9"/>
      <c r="B336" s="9"/>
      <c r="C336" s="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9"/>
      <c r="B337" s="9"/>
      <c r="C337" s="9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9"/>
      <c r="B338" s="9"/>
      <c r="C338" s="9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9"/>
      <c r="B339" s="9"/>
      <c r="C339" s="9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9"/>
      <c r="B340" s="9"/>
      <c r="C340" s="9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9"/>
      <c r="B341" s="9"/>
      <c r="C341" s="9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9"/>
      <c r="B342" s="9"/>
      <c r="C342" s="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9"/>
      <c r="B343" s="9"/>
      <c r="C343" s="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9"/>
      <c r="B344" s="9"/>
      <c r="C344" s="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9"/>
      <c r="B345" s="9"/>
      <c r="C345" s="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9"/>
      <c r="B346" s="9"/>
      <c r="C346" s="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9"/>
      <c r="B347" s="9"/>
      <c r="C347" s="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9"/>
      <c r="B348" s="9"/>
      <c r="C348" s="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9"/>
      <c r="B349" s="9"/>
      <c r="C349" s="9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9"/>
      <c r="B350" s="9"/>
      <c r="C350" s="9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9"/>
      <c r="B351" s="9"/>
      <c r="C351" s="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9"/>
      <c r="B352" s="9"/>
      <c r="C352" s="9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9"/>
      <c r="B353" s="9"/>
      <c r="C353" s="9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9"/>
      <c r="B354" s="9"/>
      <c r="C354" s="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9"/>
      <c r="B355" s="9"/>
      <c r="C355" s="9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9"/>
      <c r="B356" s="9"/>
      <c r="C356" s="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9"/>
      <c r="B357" s="9"/>
      <c r="C357" s="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9"/>
      <c r="B358" s="9"/>
      <c r="C358" s="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9"/>
      <c r="B359" s="9"/>
      <c r="C359" s="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9"/>
      <c r="B360" s="9"/>
      <c r="C360" s="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9"/>
      <c r="B361" s="9"/>
      <c r="C361" s="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9"/>
      <c r="B362" s="9"/>
      <c r="C362" s="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9"/>
      <c r="B363" s="9"/>
      <c r="C363" s="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9"/>
      <c r="B364" s="9"/>
      <c r="C364" s="9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9"/>
      <c r="B365" s="9"/>
      <c r="C365" s="9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9"/>
      <c r="B366" s="9"/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9"/>
      <c r="B367" s="9"/>
      <c r="C367" s="9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9"/>
      <c r="B368" s="9"/>
      <c r="C368" s="9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9"/>
      <c r="B369" s="9"/>
      <c r="C369" s="9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9"/>
      <c r="B370" s="9"/>
      <c r="C370" s="9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9"/>
      <c r="B371" s="9"/>
      <c r="C371" s="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9"/>
      <c r="B372" s="9"/>
      <c r="C372" s="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9"/>
      <c r="B373" s="9"/>
      <c r="C373" s="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9"/>
      <c r="B374" s="9"/>
      <c r="C374" s="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9"/>
      <c r="B375" s="9"/>
      <c r="C375" s="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9"/>
      <c r="B376" s="9"/>
      <c r="C376" s="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9"/>
      <c r="B377" s="9"/>
      <c r="C377" s="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9"/>
      <c r="B378" s="9"/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9"/>
      <c r="B379" s="9"/>
      <c r="C379" s="9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9"/>
      <c r="B380" s="9"/>
      <c r="C380" s="9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9"/>
      <c r="B381" s="9"/>
      <c r="C381" s="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9"/>
      <c r="B382" s="9"/>
      <c r="C382" s="9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9"/>
      <c r="B383" s="9"/>
      <c r="C383" s="9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9"/>
      <c r="B384" s="9"/>
      <c r="C384" s="9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9"/>
      <c r="B385" s="9"/>
      <c r="C385" s="9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9"/>
      <c r="B386" s="9"/>
      <c r="C386" s="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9"/>
      <c r="B387" s="9"/>
      <c r="C387" s="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9"/>
      <c r="B388" s="9"/>
      <c r="C388" s="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9"/>
      <c r="B389" s="9"/>
      <c r="C389" s="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9"/>
      <c r="B390" s="9"/>
      <c r="C390" s="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9"/>
      <c r="B391" s="9"/>
      <c r="C391" s="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9"/>
      <c r="B392" s="9"/>
      <c r="C392" s="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9"/>
      <c r="B393" s="9"/>
      <c r="C393" s="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9"/>
      <c r="B394" s="9"/>
      <c r="C394" s="9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9"/>
      <c r="B395" s="9"/>
      <c r="C395" s="9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9"/>
      <c r="B396" s="9"/>
      <c r="C396" s="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9"/>
      <c r="B397" s="9"/>
      <c r="C397" s="9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9"/>
      <c r="B398" s="9"/>
      <c r="C398" s="9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9"/>
      <c r="B399" s="9"/>
      <c r="C399" s="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9"/>
      <c r="B400" s="9"/>
      <c r="C400" s="9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9"/>
      <c r="B401" s="9"/>
      <c r="C401" s="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9"/>
      <c r="B402" s="9"/>
      <c r="C402" s="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9"/>
      <c r="B403" s="9"/>
      <c r="C403" s="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9"/>
      <c r="B404" s="9"/>
      <c r="C404" s="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9"/>
      <c r="B405" s="9"/>
      <c r="C405" s="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9"/>
      <c r="B406" s="9"/>
      <c r="C406" s="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9"/>
      <c r="B407" s="9"/>
      <c r="C407" s="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9"/>
      <c r="B408" s="9"/>
      <c r="C408" s="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9"/>
      <c r="B409" s="9"/>
      <c r="C409" s="9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9"/>
      <c r="B410" s="9"/>
      <c r="C410" s="9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9"/>
      <c r="B411" s="9"/>
      <c r="C411" s="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9"/>
      <c r="B412" s="9"/>
      <c r="C412" s="9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9"/>
      <c r="B413" s="9"/>
      <c r="C413" s="9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9"/>
      <c r="B414" s="9"/>
      <c r="C414" s="9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9"/>
      <c r="B415" s="9"/>
      <c r="C415" s="9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9"/>
      <c r="B416" s="9"/>
      <c r="C416" s="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9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9"/>
      <c r="B418" s="9"/>
      <c r="C418" s="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9"/>
      <c r="B419" s="9"/>
      <c r="C419" s="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9"/>
      <c r="B420" s="9"/>
      <c r="C420" s="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9"/>
      <c r="B421" s="9"/>
      <c r="C421" s="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9"/>
      <c r="B422" s="9"/>
      <c r="C422" s="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9"/>
      <c r="B423" s="9"/>
      <c r="C423" s="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9"/>
      <c r="B424" s="9"/>
      <c r="C424" s="9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9"/>
      <c r="B425" s="9"/>
      <c r="C425" s="9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9"/>
      <c r="B426" s="9"/>
      <c r="C426" s="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9"/>
      <c r="B427" s="9"/>
      <c r="C427" s="9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9"/>
      <c r="B428" s="9"/>
      <c r="C428" s="9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9"/>
      <c r="B429" s="9"/>
      <c r="C429" s="9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9"/>
      <c r="B431" s="9"/>
      <c r="C431" s="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9"/>
      <c r="B432" s="9"/>
      <c r="C432" s="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9"/>
      <c r="B433" s="9"/>
      <c r="C433" s="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9"/>
      <c r="B434" s="9"/>
      <c r="C434" s="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9"/>
      <c r="B435" s="9"/>
      <c r="C435" s="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9"/>
      <c r="B437" s="9"/>
      <c r="C437" s="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9"/>
      <c r="B438" s="9"/>
      <c r="C438" s="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9"/>
      <c r="B439" s="9"/>
      <c r="C439" s="9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9"/>
      <c r="B440" s="9"/>
      <c r="C440" s="9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9"/>
      <c r="B441" s="9"/>
      <c r="C441" s="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9"/>
      <c r="B442" s="9"/>
      <c r="C442" s="9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9"/>
      <c r="B443" s="9"/>
      <c r="C443" s="9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9"/>
      <c r="B444" s="9"/>
      <c r="C444" s="9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9"/>
      <c r="B445" s="9"/>
      <c r="C445" s="9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9"/>
      <c r="B446" s="9"/>
      <c r="C446" s="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9"/>
      <c r="B447" s="9"/>
      <c r="C447" s="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9"/>
      <c r="B448" s="9"/>
      <c r="C448" s="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9"/>
      <c r="B449" s="9"/>
      <c r="C449" s="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9"/>
      <c r="B450" s="9"/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9"/>
      <c r="B451" s="9"/>
      <c r="C451" s="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9"/>
      <c r="B452" s="9"/>
      <c r="C452" s="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9"/>
      <c r="B453" s="9"/>
      <c r="C453" s="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9"/>
      <c r="B454" s="9"/>
      <c r="C454" s="9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9"/>
      <c r="B455" s="9"/>
      <c r="C455" s="9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9"/>
      <c r="B456" s="9"/>
      <c r="C456" s="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9"/>
      <c r="B457" s="9"/>
      <c r="C457" s="9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9"/>
      <c r="B458" s="9"/>
      <c r="C458" s="9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9"/>
      <c r="B459" s="9"/>
      <c r="C459" s="9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9"/>
      <c r="B460" s="9"/>
      <c r="C460" s="9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9"/>
      <c r="B461" s="9"/>
      <c r="C461" s="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9"/>
      <c r="B462" s="9"/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9"/>
      <c r="B463" s="9"/>
      <c r="C463" s="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9"/>
      <c r="B464" s="9"/>
      <c r="C464" s="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9"/>
      <c r="B465" s="9"/>
      <c r="C465" s="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9"/>
      <c r="B466" s="9"/>
      <c r="C466" s="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9"/>
      <c r="B467" s="9"/>
      <c r="C467" s="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9"/>
      <c r="B468" s="9"/>
      <c r="C468" s="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9"/>
      <c r="B469" s="9"/>
      <c r="C469" s="9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9"/>
      <c r="B470" s="9"/>
      <c r="C470" s="9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9"/>
      <c r="B471" s="9"/>
      <c r="C471" s="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9"/>
      <c r="B472" s="9"/>
      <c r="C472" s="9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9"/>
      <c r="B473" s="9"/>
      <c r="C473" s="9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9"/>
      <c r="B474" s="9"/>
      <c r="C474" s="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9"/>
      <c r="B475" s="9"/>
      <c r="C475" s="9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9"/>
      <c r="B476" s="9"/>
      <c r="C476" s="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9"/>
      <c r="B477" s="9"/>
      <c r="C477" s="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9"/>
      <c r="B478" s="9"/>
      <c r="C478" s="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9"/>
      <c r="B479" s="9"/>
      <c r="C479" s="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9"/>
      <c r="B480" s="9"/>
      <c r="C480" s="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9"/>
      <c r="B481" s="9"/>
      <c r="C481" s="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9"/>
      <c r="B482" s="9"/>
      <c r="C482" s="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9"/>
      <c r="B483" s="9"/>
      <c r="C483" s="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9"/>
      <c r="B484" s="9"/>
      <c r="C484" s="9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9"/>
      <c r="B485" s="9"/>
      <c r="C485" s="9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9"/>
      <c r="B486" s="9"/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9"/>
      <c r="B487" s="9"/>
      <c r="C487" s="9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9"/>
      <c r="B488" s="9"/>
      <c r="C488" s="9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9"/>
      <c r="B489" s="9"/>
      <c r="C489" s="9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9"/>
      <c r="B490" s="9"/>
      <c r="C490" s="9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9"/>
      <c r="B491" s="9"/>
      <c r="C491" s="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9"/>
      <c r="B492" s="9"/>
      <c r="C492" s="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9"/>
      <c r="B493" s="9"/>
      <c r="C493" s="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9"/>
      <c r="B494" s="9"/>
      <c r="C494" s="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9"/>
      <c r="B495" s="9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9"/>
      <c r="B496" s="9"/>
      <c r="C496" s="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9"/>
      <c r="B497" s="9"/>
      <c r="C497" s="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9"/>
      <c r="B498" s="9"/>
      <c r="C498" s="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9"/>
      <c r="B499" s="9"/>
      <c r="C499" s="9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9"/>
      <c r="B500" s="9"/>
      <c r="C500" s="9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9"/>
      <c r="B501" s="9"/>
      <c r="C501" s="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9"/>
      <c r="B502" s="9"/>
      <c r="C502" s="9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9"/>
      <c r="B503" s="9"/>
      <c r="C503" s="9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9"/>
      <c r="B504" s="9"/>
      <c r="C504" s="9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9"/>
      <c r="B505" s="9"/>
      <c r="C505" s="9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9"/>
      <c r="B506" s="9"/>
      <c r="C506" s="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9"/>
      <c r="B507" s="9"/>
      <c r="C507" s="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9"/>
      <c r="B508" s="9"/>
      <c r="C508" s="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9"/>
      <c r="B509" s="9"/>
      <c r="C509" s="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9"/>
      <c r="B510" s="9"/>
      <c r="C510" s="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9"/>
      <c r="B511" s="9"/>
      <c r="C511" s="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9"/>
      <c r="B512" s="9"/>
      <c r="C512" s="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9"/>
      <c r="B513" s="9"/>
      <c r="C513" s="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9"/>
      <c r="B514" s="9"/>
      <c r="C514" s="9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9"/>
      <c r="B515" s="9"/>
      <c r="C515" s="9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9"/>
      <c r="B516" s="9"/>
      <c r="C516" s="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9"/>
      <c r="B517" s="9"/>
      <c r="C517" s="9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9"/>
      <c r="B518" s="9"/>
      <c r="C518" s="9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9"/>
      <c r="B519" s="9"/>
      <c r="C519" s="9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9"/>
      <c r="B520" s="9"/>
      <c r="C520" s="9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9"/>
      <c r="B521" s="9"/>
      <c r="C521" s="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9"/>
      <c r="B522" s="9"/>
      <c r="C522" s="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9"/>
      <c r="B523" s="9"/>
      <c r="C523" s="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9"/>
      <c r="B524" s="9"/>
      <c r="C524" s="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9"/>
      <c r="B525" s="9"/>
      <c r="C525" s="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9"/>
      <c r="B526" s="9"/>
      <c r="C526" s="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9"/>
      <c r="B527" s="9"/>
      <c r="C527" s="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9"/>
      <c r="B528" s="9"/>
      <c r="C528" s="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9"/>
      <c r="B529" s="9"/>
      <c r="C529" s="9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9"/>
      <c r="B530" s="9"/>
      <c r="C530" s="9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9"/>
      <c r="B531" s="9"/>
      <c r="C531" s="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9"/>
      <c r="B532" s="9"/>
      <c r="C532" s="9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9"/>
      <c r="B533" s="9"/>
      <c r="C533" s="9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9"/>
      <c r="B534" s="9"/>
      <c r="C534" s="9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9"/>
      <c r="B535" s="9"/>
      <c r="C535" s="9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9"/>
      <c r="B536" s="9"/>
      <c r="C536" s="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9"/>
      <c r="B537" s="9"/>
      <c r="C537" s="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9"/>
      <c r="B538" s="9"/>
      <c r="C538" s="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9"/>
      <c r="B539" s="9"/>
      <c r="C539" s="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9"/>
      <c r="B540" s="9"/>
      <c r="C540" s="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9"/>
      <c r="B541" s="9"/>
      <c r="C541" s="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9"/>
      <c r="B542" s="9"/>
      <c r="C542" s="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9"/>
      <c r="B543" s="9"/>
      <c r="C543" s="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9"/>
      <c r="B544" s="9"/>
      <c r="C544" s="9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9"/>
      <c r="B545" s="9"/>
      <c r="C545" s="9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9"/>
      <c r="B546" s="9"/>
      <c r="C546" s="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9"/>
      <c r="B547" s="9"/>
      <c r="C547" s="9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9"/>
      <c r="B548" s="9"/>
      <c r="C548" s="9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9"/>
      <c r="B549" s="9"/>
      <c r="C549" s="9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9"/>
      <c r="B550" s="9"/>
      <c r="C550" s="9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9"/>
      <c r="B551" s="9"/>
      <c r="C551" s="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9"/>
      <c r="B552" s="9"/>
      <c r="C552" s="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9"/>
      <c r="B553" s="9"/>
      <c r="C553" s="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9"/>
      <c r="B554" s="9"/>
      <c r="C554" s="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9"/>
      <c r="B555" s="9"/>
      <c r="C555" s="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9"/>
      <c r="B556" s="9"/>
      <c r="C556" s="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9"/>
      <c r="B557" s="9"/>
      <c r="C557" s="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9"/>
      <c r="B558" s="9"/>
      <c r="C558" s="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9"/>
      <c r="B559" s="9"/>
      <c r="C559" s="9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9"/>
      <c r="B560" s="9"/>
      <c r="C560" s="9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9"/>
      <c r="B561" s="9"/>
      <c r="C561" s="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9"/>
      <c r="B562" s="9"/>
      <c r="C562" s="9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9"/>
      <c r="B563" s="9"/>
      <c r="C563" s="9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9"/>
      <c r="B564" s="9"/>
      <c r="C564" s="9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9"/>
      <c r="B565" s="9"/>
      <c r="C565" s="9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9"/>
      <c r="B566" s="9"/>
      <c r="C566" s="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9"/>
      <c r="B567" s="9"/>
      <c r="C567" s="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9"/>
      <c r="B568" s="9"/>
      <c r="C568" s="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9"/>
      <c r="B569" s="9"/>
      <c r="C569" s="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9"/>
      <c r="B570" s="9"/>
      <c r="C570" s="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9"/>
      <c r="B571" s="9"/>
      <c r="C571" s="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9"/>
      <c r="B572" s="9"/>
      <c r="C572" s="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9"/>
      <c r="B573" s="9"/>
      <c r="C573" s="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9"/>
      <c r="B574" s="9"/>
      <c r="C574" s="9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9"/>
      <c r="B575" s="9"/>
      <c r="C575" s="9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9"/>
      <c r="B576" s="9"/>
      <c r="C576" s="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9"/>
      <c r="B577" s="9"/>
      <c r="C577" s="9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9"/>
      <c r="B578" s="9"/>
      <c r="C578" s="9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9"/>
      <c r="B579" s="9"/>
      <c r="C579" s="9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9"/>
      <c r="B580" s="9"/>
      <c r="C580" s="9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9"/>
      <c r="B581" s="9"/>
      <c r="C581" s="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9"/>
      <c r="B582" s="9"/>
      <c r="C582" s="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9"/>
      <c r="B583" s="9"/>
      <c r="C583" s="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9"/>
      <c r="B584" s="9"/>
      <c r="C584" s="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9"/>
      <c r="B585" s="9"/>
      <c r="C585" s="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9"/>
      <c r="B586" s="9"/>
      <c r="C586" s="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9"/>
      <c r="B587" s="9"/>
      <c r="C587" s="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9"/>
      <c r="B588" s="9"/>
      <c r="C588" s="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9"/>
      <c r="B589" s="9"/>
      <c r="C589" s="9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9"/>
      <c r="B590" s="9"/>
      <c r="C590" s="9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9"/>
      <c r="B591" s="9"/>
      <c r="C591" s="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9"/>
      <c r="B592" s="9"/>
      <c r="C592" s="9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9"/>
      <c r="B593" s="9"/>
      <c r="C593" s="9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9"/>
      <c r="B594" s="9"/>
      <c r="C594" s="9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9"/>
      <c r="B595" s="9"/>
      <c r="C595" s="9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9"/>
      <c r="B596" s="9"/>
      <c r="C596" s="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9"/>
      <c r="B597" s="9"/>
      <c r="C597" s="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9"/>
      <c r="B598" s="9"/>
      <c r="C598" s="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9"/>
      <c r="B599" s="9"/>
      <c r="C599" s="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9"/>
      <c r="B600" s="9"/>
      <c r="C600" s="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9"/>
      <c r="B601" s="9"/>
      <c r="C601" s="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9"/>
      <c r="B602" s="9"/>
      <c r="C602" s="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9"/>
      <c r="B603" s="9"/>
      <c r="C603" s="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9"/>
      <c r="B604" s="9"/>
      <c r="C604" s="9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9"/>
      <c r="B605" s="9"/>
      <c r="C605" s="9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9"/>
      <c r="B606" s="9"/>
      <c r="C606" s="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9"/>
      <c r="B607" s="9"/>
      <c r="C607" s="9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9"/>
      <c r="B608" s="9"/>
      <c r="C608" s="9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9"/>
      <c r="B609" s="9"/>
      <c r="C609" s="9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9"/>
      <c r="B610" s="9"/>
      <c r="C610" s="9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9"/>
      <c r="B611" s="9"/>
      <c r="C611" s="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9"/>
      <c r="B612" s="9"/>
      <c r="C612" s="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9"/>
      <c r="B613" s="9"/>
      <c r="C613" s="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9"/>
      <c r="B614" s="9"/>
      <c r="C614" s="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9"/>
      <c r="B615" s="9"/>
      <c r="C615" s="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9"/>
      <c r="B616" s="9"/>
      <c r="C616" s="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9"/>
      <c r="B617" s="9"/>
      <c r="C617" s="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9"/>
      <c r="B618" s="9"/>
      <c r="C618" s="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9"/>
      <c r="B619" s="9"/>
      <c r="C619" s="9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9"/>
      <c r="B620" s="9"/>
      <c r="C620" s="9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9"/>
      <c r="B621" s="9"/>
      <c r="C621" s="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9"/>
      <c r="B622" s="9"/>
      <c r="C622" s="9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9"/>
      <c r="B623" s="9"/>
      <c r="C623" s="9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9"/>
      <c r="B624" s="9"/>
      <c r="C624" s="9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9"/>
      <c r="B625" s="9"/>
      <c r="C625" s="9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9"/>
      <c r="B626" s="9"/>
      <c r="C626" s="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9"/>
      <c r="B627" s="9"/>
      <c r="C627" s="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9"/>
      <c r="B628" s="9"/>
      <c r="C628" s="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9"/>
      <c r="B629" s="9"/>
      <c r="C629" s="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9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9"/>
      <c r="B631" s="9"/>
      <c r="C631" s="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9"/>
      <c r="B632" s="9"/>
      <c r="C632" s="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9"/>
      <c r="B633" s="9"/>
      <c r="C633" s="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9"/>
      <c r="B634" s="9"/>
      <c r="C634" s="9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9"/>
      <c r="B635" s="9"/>
      <c r="C635" s="9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9"/>
      <c r="B636" s="9"/>
      <c r="C636" s="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9"/>
      <c r="B637" s="9"/>
      <c r="C637" s="9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9"/>
      <c r="B638" s="9"/>
      <c r="C638" s="9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9"/>
      <c r="B639" s="9"/>
      <c r="C639" s="9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9"/>
      <c r="B640" s="9"/>
      <c r="C640" s="9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9"/>
      <c r="B641" s="9"/>
      <c r="C641" s="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9"/>
      <c r="B642" s="9"/>
      <c r="C642" s="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9"/>
      <c r="B643" s="9"/>
      <c r="C643" s="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9"/>
      <c r="B644" s="9"/>
      <c r="C644" s="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9"/>
      <c r="B645" s="9"/>
      <c r="C645" s="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9"/>
      <c r="B646" s="9"/>
      <c r="C646" s="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9"/>
      <c r="B647" s="9"/>
      <c r="C647" s="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9"/>
      <c r="B649" s="9"/>
      <c r="C649" s="9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9"/>
      <c r="B650" s="9"/>
      <c r="C650" s="9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9"/>
      <c r="B651" s="9"/>
      <c r="C651" s="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9"/>
      <c r="B652" s="9"/>
      <c r="C652" s="9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9"/>
      <c r="B653" s="9"/>
      <c r="C653" s="9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9"/>
      <c r="B654" s="9"/>
      <c r="C654" s="9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9"/>
      <c r="B655" s="9"/>
      <c r="C655" s="9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9"/>
      <c r="B656" s="9"/>
      <c r="C656" s="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9"/>
      <c r="B657" s="9"/>
      <c r="C657" s="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9"/>
      <c r="B658" s="9"/>
      <c r="C658" s="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9"/>
      <c r="B659" s="9"/>
      <c r="C659" s="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9"/>
      <c r="B660" s="9"/>
      <c r="C660" s="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9"/>
      <c r="B661" s="9"/>
      <c r="C661" s="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9"/>
      <c r="B662" s="9"/>
      <c r="C662" s="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9"/>
      <c r="B663" s="9"/>
      <c r="C663" s="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9"/>
      <c r="B664" s="9"/>
      <c r="C664" s="9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9"/>
      <c r="B665" s="9"/>
      <c r="C665" s="9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9"/>
      <c r="B666" s="9"/>
      <c r="C666" s="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9"/>
      <c r="B667" s="9"/>
      <c r="C667" s="9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9"/>
      <c r="B668" s="9"/>
      <c r="C668" s="9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9"/>
      <c r="B669" s="9"/>
      <c r="C669" s="9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9"/>
      <c r="B670" s="9"/>
      <c r="C670" s="9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9"/>
      <c r="B671" s="9"/>
      <c r="C671" s="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9"/>
      <c r="B672" s="9"/>
      <c r="C672" s="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9"/>
      <c r="B673" s="9"/>
      <c r="C673" s="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9"/>
      <c r="B674" s="9"/>
      <c r="C674" s="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9"/>
      <c r="B675" s="9"/>
      <c r="C675" s="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9"/>
      <c r="B676" s="9"/>
      <c r="C676" s="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9"/>
      <c r="B677" s="9"/>
      <c r="C677" s="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9"/>
      <c r="B678" s="9"/>
      <c r="C678" s="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9"/>
      <c r="B679" s="9"/>
      <c r="C679" s="9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9"/>
      <c r="B680" s="9"/>
      <c r="C680" s="9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9"/>
      <c r="B681" s="9"/>
      <c r="C681" s="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9"/>
      <c r="B682" s="9"/>
      <c r="C682" s="9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9"/>
      <c r="B683" s="9"/>
      <c r="C683" s="9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9"/>
      <c r="B684" s="9"/>
      <c r="C684" s="9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9"/>
      <c r="B685" s="9"/>
      <c r="C685" s="9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9"/>
      <c r="B686" s="9"/>
      <c r="C686" s="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9"/>
      <c r="B687" s="9"/>
      <c r="C687" s="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9"/>
      <c r="B688" s="9"/>
      <c r="C688" s="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9"/>
      <c r="B689" s="9"/>
      <c r="C689" s="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9"/>
      <c r="B690" s="9"/>
      <c r="C690" s="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9"/>
      <c r="B691" s="9"/>
      <c r="C691" s="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9"/>
      <c r="B692" s="9"/>
      <c r="C692" s="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9"/>
      <c r="B693" s="9"/>
      <c r="C693" s="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9"/>
      <c r="B694" s="9"/>
      <c r="C694" s="9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9"/>
      <c r="B695" s="9"/>
      <c r="C695" s="9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9"/>
      <c r="B696" s="9"/>
      <c r="C696" s="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9"/>
      <c r="B697" s="9"/>
      <c r="C697" s="9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9"/>
      <c r="B698" s="9"/>
      <c r="C698" s="9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9"/>
      <c r="B699" s="9"/>
      <c r="C699" s="9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9"/>
      <c r="B700" s="9"/>
      <c r="C700" s="9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9"/>
      <c r="B701" s="9"/>
      <c r="C701" s="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9"/>
      <c r="B702" s="9"/>
      <c r="C702" s="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9"/>
      <c r="B703" s="9"/>
      <c r="C703" s="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9"/>
      <c r="B704" s="9"/>
      <c r="C704" s="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9"/>
      <c r="B705" s="9"/>
      <c r="C705" s="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9"/>
      <c r="B706" s="9"/>
      <c r="C706" s="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9"/>
      <c r="B707" s="9"/>
      <c r="C707" s="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9"/>
      <c r="B708" s="9"/>
      <c r="C708" s="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9"/>
      <c r="B709" s="9"/>
      <c r="C709" s="9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9"/>
      <c r="B710" s="9"/>
      <c r="C710" s="9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9"/>
      <c r="B711" s="9"/>
      <c r="C711" s="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9"/>
      <c r="B712" s="9"/>
      <c r="C712" s="9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9"/>
      <c r="B713" s="9"/>
      <c r="C713" s="9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9"/>
      <c r="B714" s="9"/>
      <c r="C714" s="9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9"/>
      <c r="B715" s="9"/>
      <c r="C715" s="9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9"/>
      <c r="B716" s="9"/>
      <c r="C716" s="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9"/>
      <c r="B717" s="9"/>
      <c r="C717" s="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9"/>
      <c r="B718" s="9"/>
      <c r="C718" s="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9"/>
      <c r="B719" s="9"/>
      <c r="C719" s="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9"/>
      <c r="B720" s="9"/>
      <c r="C720" s="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9"/>
      <c r="B721" s="9"/>
      <c r="C721" s="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9"/>
      <c r="B722" s="9"/>
      <c r="C722" s="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9"/>
      <c r="B723" s="9"/>
      <c r="C723" s="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9"/>
      <c r="B724" s="9"/>
      <c r="C724" s="9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9"/>
      <c r="B725" s="9"/>
      <c r="C725" s="9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9"/>
      <c r="B726" s="9"/>
      <c r="C726" s="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9"/>
      <c r="B727" s="9"/>
      <c r="C727" s="9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9"/>
      <c r="B728" s="9"/>
      <c r="C728" s="9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9"/>
      <c r="B729" s="9"/>
      <c r="C729" s="9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9"/>
      <c r="B730" s="9"/>
      <c r="C730" s="9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9"/>
      <c r="B731" s="9"/>
      <c r="C731" s="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9"/>
      <c r="B732" s="9"/>
      <c r="C732" s="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9"/>
      <c r="B733" s="9"/>
      <c r="C733" s="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9"/>
      <c r="B734" s="9"/>
      <c r="C734" s="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9"/>
      <c r="B735" s="9"/>
      <c r="C735" s="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9"/>
      <c r="B736" s="9"/>
      <c r="C736" s="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9"/>
      <c r="B737" s="9"/>
      <c r="C737" s="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9"/>
      <c r="B738" s="9"/>
      <c r="C738" s="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9"/>
      <c r="B739" s="9"/>
      <c r="C739" s="9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9"/>
      <c r="B740" s="9"/>
      <c r="C740" s="9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9"/>
      <c r="B741" s="9"/>
      <c r="C741" s="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9"/>
      <c r="B742" s="9"/>
      <c r="C742" s="9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9"/>
      <c r="B743" s="9"/>
      <c r="C743" s="9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9"/>
      <c r="B744" s="9"/>
      <c r="C744" s="9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9"/>
      <c r="B745" s="9"/>
      <c r="C745" s="9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9"/>
      <c r="B746" s="9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9"/>
      <c r="B747" s="9"/>
      <c r="C747" s="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9"/>
      <c r="B748" s="9"/>
      <c r="C748" s="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9"/>
      <c r="B749" s="9"/>
      <c r="C749" s="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9"/>
      <c r="B750" s="9"/>
      <c r="C750" s="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9"/>
      <c r="B751" s="9"/>
      <c r="C751" s="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9"/>
      <c r="B752" s="9"/>
      <c r="C752" s="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9"/>
      <c r="B753" s="9"/>
      <c r="C753" s="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9"/>
      <c r="B754" s="9"/>
      <c r="C754" s="9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9"/>
      <c r="B755" s="9"/>
      <c r="C755" s="9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9"/>
      <c r="B756" s="9"/>
      <c r="C756" s="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9"/>
      <c r="B757" s="9"/>
      <c r="C757" s="9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9"/>
      <c r="B758" s="9"/>
      <c r="C758" s="9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9"/>
      <c r="B759" s="9"/>
      <c r="C759" s="9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9"/>
      <c r="B760" s="9"/>
      <c r="C760" s="9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9"/>
      <c r="B761" s="9"/>
      <c r="C761" s="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9"/>
      <c r="B762" s="9"/>
      <c r="C762" s="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9"/>
      <c r="B763" s="9"/>
      <c r="C763" s="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9"/>
      <c r="B764" s="9"/>
      <c r="C764" s="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9"/>
      <c r="B765" s="9"/>
      <c r="C765" s="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9"/>
      <c r="B766" s="9"/>
      <c r="C766" s="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9"/>
      <c r="B767" s="9"/>
      <c r="C767" s="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9"/>
      <c r="B768" s="9"/>
      <c r="C768" s="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9"/>
      <c r="B769" s="9"/>
      <c r="C769" s="9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9"/>
      <c r="B770" s="9"/>
      <c r="C770" s="9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9"/>
      <c r="B771" s="9"/>
      <c r="C771" s="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9"/>
      <c r="B772" s="9"/>
      <c r="C772" s="9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9"/>
      <c r="B773" s="9"/>
      <c r="C773" s="9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9"/>
      <c r="B774" s="9"/>
      <c r="C774" s="9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9"/>
      <c r="B775" s="9"/>
      <c r="C775" s="9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9"/>
      <c r="B776" s="9"/>
      <c r="C776" s="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9"/>
      <c r="B777" s="9"/>
      <c r="C777" s="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9"/>
      <c r="B778" s="9"/>
      <c r="C778" s="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9"/>
      <c r="B779" s="9"/>
      <c r="C779" s="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9"/>
      <c r="B780" s="9"/>
      <c r="C780" s="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9"/>
      <c r="B781" s="9"/>
      <c r="C781" s="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9"/>
      <c r="B782" s="9"/>
      <c r="C782" s="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9"/>
      <c r="B783" s="9"/>
      <c r="C783" s="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9"/>
      <c r="B784" s="9"/>
      <c r="C784" s="9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9"/>
      <c r="B785" s="9"/>
      <c r="C785" s="9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9"/>
      <c r="B786" s="9"/>
      <c r="C786" s="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9"/>
      <c r="B787" s="9"/>
      <c r="C787" s="9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9"/>
      <c r="B788" s="9"/>
      <c r="C788" s="9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9"/>
      <c r="B789" s="9"/>
      <c r="C789" s="9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9"/>
      <c r="B790" s="9"/>
      <c r="C790" s="9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9"/>
      <c r="B791" s="9"/>
      <c r="C791" s="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9"/>
      <c r="B792" s="9"/>
      <c r="C792" s="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9"/>
      <c r="B793" s="9"/>
      <c r="C793" s="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9"/>
      <c r="B794" s="9"/>
      <c r="C794" s="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9"/>
      <c r="B795" s="9"/>
      <c r="C795" s="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9"/>
      <c r="B796" s="9"/>
      <c r="C796" s="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9"/>
      <c r="B797" s="9"/>
      <c r="C797" s="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9"/>
      <c r="B798" s="9"/>
      <c r="C798" s="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9"/>
      <c r="B799" s="9"/>
      <c r="C799" s="9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9"/>
      <c r="B800" s="9"/>
      <c r="C800" s="9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9"/>
      <c r="B801" s="9"/>
      <c r="C801" s="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9"/>
      <c r="B802" s="9"/>
      <c r="C802" s="9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9"/>
      <c r="B803" s="9"/>
      <c r="C803" s="9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9"/>
      <c r="B804" s="9"/>
      <c r="C804" s="9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9"/>
      <c r="B805" s="9"/>
      <c r="C805" s="9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9"/>
      <c r="B806" s="9"/>
      <c r="C806" s="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9"/>
      <c r="B807" s="9"/>
      <c r="C807" s="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9"/>
      <c r="B808" s="9"/>
      <c r="C808" s="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9"/>
      <c r="B809" s="9"/>
      <c r="C809" s="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9"/>
      <c r="B810" s="9"/>
      <c r="C810" s="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9"/>
      <c r="B811" s="9"/>
      <c r="C811" s="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9"/>
      <c r="B812" s="9"/>
      <c r="C812" s="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9"/>
      <c r="B813" s="9"/>
      <c r="C813" s="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9"/>
      <c r="B814" s="9"/>
      <c r="C814" s="9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9"/>
      <c r="B815" s="9"/>
      <c r="C815" s="9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9"/>
      <c r="B816" s="9"/>
      <c r="C816" s="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9"/>
      <c r="B817" s="9"/>
      <c r="C817" s="9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9"/>
      <c r="B818" s="9"/>
      <c r="C818" s="9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9"/>
      <c r="B819" s="9"/>
      <c r="C819" s="9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9"/>
      <c r="B820" s="9"/>
      <c r="C820" s="9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9"/>
      <c r="B821" s="9"/>
      <c r="C821" s="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9"/>
      <c r="B822" s="9"/>
      <c r="C822" s="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9"/>
      <c r="B823" s="9"/>
      <c r="C823" s="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9"/>
      <c r="B824" s="9"/>
      <c r="C824" s="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9"/>
      <c r="B825" s="9"/>
      <c r="C825" s="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9"/>
      <c r="B826" s="9"/>
      <c r="C826" s="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9"/>
      <c r="B827" s="9"/>
      <c r="C827" s="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9"/>
      <c r="B828" s="9"/>
      <c r="C828" s="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9"/>
      <c r="B829" s="9"/>
      <c r="C829" s="9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9"/>
      <c r="B830" s="9"/>
      <c r="C830" s="9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9"/>
      <c r="B831" s="9"/>
      <c r="C831" s="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9"/>
      <c r="B832" s="9"/>
      <c r="C832" s="9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9"/>
      <c r="B833" s="9"/>
      <c r="C833" s="9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9"/>
      <c r="B834" s="9"/>
      <c r="C834" s="9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9"/>
      <c r="B835" s="9"/>
      <c r="C835" s="9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9"/>
      <c r="B836" s="9"/>
      <c r="C836" s="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9"/>
      <c r="B837" s="9"/>
      <c r="C837" s="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9"/>
      <c r="B838" s="9"/>
      <c r="C838" s="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9"/>
      <c r="B839" s="9"/>
      <c r="C839" s="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9"/>
      <c r="B840" s="9"/>
      <c r="C840" s="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9"/>
      <c r="B841" s="9"/>
      <c r="C841" s="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9"/>
      <c r="B842" s="9"/>
      <c r="C842" s="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9"/>
      <c r="B843" s="9"/>
      <c r="C843" s="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9"/>
      <c r="B844" s="9"/>
      <c r="C844" s="9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9"/>
      <c r="B845" s="9"/>
      <c r="C845" s="9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9"/>
      <c r="B846" s="9"/>
      <c r="C846" s="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9"/>
      <c r="B847" s="9"/>
      <c r="C847" s="9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9"/>
      <c r="B848" s="9"/>
      <c r="C848" s="9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9"/>
      <c r="B849" s="9"/>
      <c r="C849" s="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9"/>
      <c r="B850" s="9"/>
      <c r="C850" s="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9"/>
      <c r="B851" s="9"/>
      <c r="C851" s="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9"/>
      <c r="B852" s="9"/>
      <c r="C852" s="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9"/>
      <c r="B853" s="9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9"/>
      <c r="B854" s="9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9"/>
      <c r="B855" s="9"/>
      <c r="C855" s="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9"/>
      <c r="B856" s="9"/>
      <c r="C856" s="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9"/>
      <c r="B857" s="9"/>
      <c r="C857" s="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9"/>
      <c r="B858" s="9"/>
      <c r="C858" s="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9"/>
      <c r="B859" s="9"/>
      <c r="C859" s="9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9"/>
      <c r="B860" s="9"/>
      <c r="C860" s="9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9"/>
      <c r="B861" s="9"/>
      <c r="C861" s="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9"/>
      <c r="B862" s="9"/>
      <c r="C862" s="9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9"/>
      <c r="B863" s="9"/>
      <c r="C863" s="9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9"/>
      <c r="B864" s="9"/>
      <c r="C864" s="9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9"/>
      <c r="B865" s="9"/>
      <c r="C865" s="9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9"/>
      <c r="B866" s="9"/>
      <c r="C866" s="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9"/>
      <c r="B867" s="9"/>
      <c r="C867" s="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9"/>
      <c r="B868" s="9"/>
      <c r="C868" s="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9"/>
      <c r="B869" s="9"/>
      <c r="C869" s="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9"/>
      <c r="B870" s="9"/>
      <c r="C870" s="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9"/>
      <c r="B871" s="9"/>
      <c r="C871" s="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9"/>
      <c r="B872" s="9"/>
      <c r="C872" s="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9"/>
      <c r="B873" s="9"/>
      <c r="C873" s="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9"/>
      <c r="B874" s="9"/>
      <c r="C874" s="9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9"/>
      <c r="B875" s="9"/>
      <c r="C875" s="9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9"/>
      <c r="B876" s="9"/>
      <c r="C876" s="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9"/>
      <c r="B877" s="9"/>
      <c r="C877" s="9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9"/>
      <c r="B878" s="9"/>
      <c r="C878" s="9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9"/>
      <c r="B879" s="9"/>
      <c r="C879" s="9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9"/>
      <c r="B880" s="9"/>
      <c r="C880" s="9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9"/>
      <c r="B881" s="9"/>
      <c r="C881" s="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9"/>
      <c r="B882" s="9"/>
      <c r="C882" s="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9"/>
      <c r="B883" s="9"/>
      <c r="C883" s="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9"/>
      <c r="B884" s="9"/>
      <c r="C884" s="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9"/>
      <c r="B885" s="9"/>
      <c r="C885" s="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9"/>
      <c r="B886" s="9"/>
      <c r="C886" s="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9"/>
      <c r="B887" s="9"/>
      <c r="C887" s="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9"/>
      <c r="B888" s="9"/>
      <c r="C888" s="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9"/>
      <c r="B889" s="9"/>
      <c r="C889" s="9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9"/>
      <c r="B890" s="9"/>
      <c r="C890" s="9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9"/>
      <c r="B891" s="9"/>
      <c r="C891" s="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9"/>
      <c r="B892" s="9"/>
      <c r="C892" s="9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9"/>
      <c r="B893" s="9"/>
      <c r="C893" s="9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9"/>
      <c r="B894" s="9"/>
      <c r="C894" s="9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9"/>
      <c r="B895" s="9"/>
      <c r="C895" s="9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9"/>
      <c r="B896" s="9"/>
      <c r="C896" s="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9"/>
      <c r="B897" s="9"/>
      <c r="C897" s="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9"/>
      <c r="B898" s="9"/>
      <c r="C898" s="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9"/>
      <c r="B899" s="9"/>
      <c r="C899" s="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9"/>
      <c r="B900" s="9"/>
      <c r="C900" s="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9"/>
      <c r="B901" s="9"/>
      <c r="C901" s="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9"/>
      <c r="B902" s="9"/>
      <c r="C902" s="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9"/>
      <c r="B903" s="9"/>
      <c r="C903" s="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9"/>
      <c r="B904" s="9"/>
      <c r="C904" s="9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9"/>
      <c r="B905" s="9"/>
      <c r="C905" s="9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9"/>
      <c r="B906" s="9"/>
      <c r="C906" s="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9"/>
      <c r="B907" s="9"/>
      <c r="C907" s="9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9"/>
      <c r="B908" s="9"/>
      <c r="C908" s="9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9"/>
      <c r="B909" s="9"/>
      <c r="C909" s="9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9"/>
      <c r="B910" s="9"/>
      <c r="C910" s="9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9"/>
      <c r="B911" s="9"/>
      <c r="C911" s="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9"/>
      <c r="B912" s="9"/>
      <c r="C912" s="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9"/>
      <c r="B913" s="9"/>
      <c r="C913" s="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9"/>
      <c r="B914" s="9"/>
      <c r="C914" s="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9"/>
      <c r="B915" s="9"/>
      <c r="C915" s="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9"/>
      <c r="B916" s="9"/>
      <c r="C916" s="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9"/>
      <c r="B917" s="9"/>
      <c r="C917" s="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9"/>
      <c r="B918" s="9"/>
      <c r="C918" s="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9"/>
      <c r="B919" s="9"/>
      <c r="C919" s="9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9"/>
      <c r="B920" s="9"/>
      <c r="C920" s="9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9"/>
      <c r="B921" s="9"/>
      <c r="C921" s="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9"/>
      <c r="B922" s="9"/>
      <c r="C922" s="9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9"/>
      <c r="B923" s="9"/>
      <c r="C923" s="9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9"/>
      <c r="B924" s="9"/>
      <c r="C924" s="9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9"/>
      <c r="B925" s="9"/>
      <c r="C925" s="9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9"/>
      <c r="B926" s="9"/>
      <c r="C926" s="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9"/>
      <c r="B927" s="9"/>
      <c r="C927" s="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9"/>
      <c r="B928" s="9"/>
      <c r="C928" s="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9"/>
      <c r="B929" s="9"/>
      <c r="C929" s="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9"/>
      <c r="B930" s="9"/>
      <c r="C930" s="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9"/>
      <c r="B931" s="9"/>
      <c r="C931" s="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9"/>
      <c r="B932" s="9"/>
      <c r="C932" s="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9"/>
      <c r="B933" s="9"/>
      <c r="C933" s="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9"/>
      <c r="B934" s="9"/>
      <c r="C934" s="9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9"/>
      <c r="B935" s="9"/>
      <c r="C935" s="9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9"/>
      <c r="B936" s="9"/>
      <c r="C936" s="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9"/>
      <c r="B937" s="9"/>
      <c r="C937" s="9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9"/>
      <c r="B938" s="9"/>
      <c r="C938" s="9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9"/>
      <c r="B939" s="9"/>
      <c r="C939" s="9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9"/>
      <c r="B940" s="9"/>
      <c r="C940" s="9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9"/>
      <c r="B941" s="9"/>
      <c r="C941" s="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9"/>
      <c r="B942" s="9"/>
      <c r="C942" s="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9"/>
      <c r="B943" s="9"/>
      <c r="C943" s="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9"/>
      <c r="B944" s="9"/>
      <c r="C944" s="9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9"/>
      <c r="B945" s="9"/>
      <c r="C945" s="9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9"/>
      <c r="B946" s="9"/>
      <c r="C946" s="9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9"/>
      <c r="B947" s="9"/>
      <c r="C947" s="9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9"/>
      <c r="B948" s="9"/>
      <c r="C948" s="9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9"/>
      <c r="B949" s="9"/>
      <c r="C949" s="9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9"/>
      <c r="B950" s="9"/>
      <c r="C950" s="9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9"/>
      <c r="B951" s="9"/>
      <c r="C951" s="9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9"/>
      <c r="B952" s="9"/>
      <c r="C952" s="9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9"/>
      <c r="B953" s="9"/>
      <c r="C953" s="9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9"/>
      <c r="B954" s="9"/>
      <c r="C954" s="9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9"/>
      <c r="B955" s="9"/>
      <c r="C955" s="9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9"/>
      <c r="B956" s="9"/>
      <c r="C956" s="9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9"/>
      <c r="B957" s="9"/>
      <c r="C957" s="9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9"/>
      <c r="B958" s="9"/>
      <c r="C958" s="9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9"/>
      <c r="B959" s="9"/>
      <c r="C959" s="9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9"/>
      <c r="B960" s="9"/>
      <c r="C960" s="9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9"/>
      <c r="B961" s="9"/>
      <c r="C961" s="9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9"/>
      <c r="B962" s="9"/>
      <c r="C962" s="9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9"/>
      <c r="B963" s="9"/>
      <c r="C963" s="9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9"/>
      <c r="B964" s="9"/>
      <c r="C964" s="9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9"/>
      <c r="B965" s="9"/>
      <c r="C965" s="9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9"/>
      <c r="B966" s="9"/>
      <c r="C966" s="9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9"/>
      <c r="B967" s="9"/>
      <c r="C967" s="9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9"/>
      <c r="B968" s="9"/>
      <c r="C968" s="9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9"/>
      <c r="B969" s="9"/>
      <c r="C969" s="9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9"/>
      <c r="B970" s="9"/>
      <c r="C970" s="9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9"/>
      <c r="B971" s="9"/>
      <c r="C971" s="9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9"/>
      <c r="B972" s="9"/>
      <c r="C972" s="9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9"/>
      <c r="B973" s="9"/>
      <c r="C973" s="9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9"/>
      <c r="B974" s="9"/>
      <c r="C974" s="9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9"/>
      <c r="B975" s="9"/>
      <c r="C975" s="9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9"/>
      <c r="B976" s="9"/>
      <c r="C976" s="9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9"/>
      <c r="B977" s="9"/>
      <c r="C977" s="9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9"/>
      <c r="B978" s="9"/>
      <c r="C978" s="9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9"/>
      <c r="B979" s="9"/>
      <c r="C979" s="9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9"/>
      <c r="B980" s="9"/>
      <c r="C980" s="9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9"/>
      <c r="B981" s="9"/>
      <c r="C981" s="9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9"/>
      <c r="B982" s="9"/>
      <c r="C982" s="9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9"/>
      <c r="B983" s="9"/>
      <c r="C983" s="9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9"/>
      <c r="B984" s="9"/>
      <c r="C984" s="9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9"/>
      <c r="B985" s="9"/>
      <c r="C985" s="9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9"/>
      <c r="B986" s="9"/>
      <c r="C986" s="9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9"/>
      <c r="B987" s="9"/>
      <c r="C987" s="9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9"/>
      <c r="B988" s="9"/>
      <c r="C988" s="9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9"/>
      <c r="B989" s="9"/>
      <c r="C989" s="9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9"/>
      <c r="B990" s="9"/>
      <c r="C990" s="9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9"/>
      <c r="B991" s="9"/>
      <c r="C991" s="9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9"/>
      <c r="B992" s="9"/>
      <c r="C992" s="9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9"/>
      <c r="B993" s="9"/>
      <c r="C993" s="9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9"/>
      <c r="B994" s="9"/>
      <c r="C994" s="9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9"/>
      <c r="B995" s="9"/>
      <c r="C995" s="9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9"/>
      <c r="B996" s="9"/>
      <c r="C996" s="9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9"/>
      <c r="B997" s="9"/>
      <c r="C997" s="9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9"/>
      <c r="B998" s="9"/>
      <c r="C998" s="9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9"/>
      <c r="B999" s="9"/>
      <c r="C999" s="9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9"/>
      <c r="B1000" s="9"/>
      <c r="C1000" s="9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">
    <mergeCell ref="F37:L38"/>
    <mergeCell ref="F39:L40"/>
  </mergeCells>
  <printOptions/>
  <pageMargins bottom="0.75" footer="0.0" header="0.0" left="0.7" right="0.7" top="0.75"/>
  <pageSetup paperSize="8" orientation="landscape"/>
  <drawing r:id="rId1"/>
  <legacyDrawing r:id="rId2"/>
  <oleObjects>
    <oleObject progId="Equation.3" shapeId="3075" r:id="rId3"/>
    <oleObject progId="Equation.3" shapeId="3074" r:id="rId4"/>
    <oleObject progId="Equation.3" shapeId="3073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hidden="1" min="1" max="1" width="7.88"/>
    <col customWidth="1" hidden="1" min="2" max="2" width="8.88"/>
    <col customWidth="1" min="3" max="3" width="8.88"/>
    <col customWidth="1" min="4" max="4" width="9.63"/>
    <col customWidth="1" min="5" max="5" width="13.0"/>
    <col customWidth="1" min="6" max="6" width="13.5"/>
    <col customWidth="1" min="7" max="7" width="17.13"/>
    <col customWidth="1" min="8" max="8" width="11.38"/>
    <col customWidth="1" min="9" max="9" width="4.5"/>
    <col customWidth="1" min="10" max="10" width="11.0"/>
    <col customWidth="1" min="11" max="11" width="12.13"/>
    <col customWidth="1" min="12" max="12" width="11.5"/>
    <col customWidth="1" min="13" max="13" width="9.38"/>
    <col customWidth="1" min="14" max="14" width="9.5"/>
    <col customWidth="1" min="15" max="15" width="11.5"/>
    <col customWidth="1" min="16" max="16" width="10.13"/>
    <col customWidth="1" min="17" max="17" width="9.38"/>
    <col customWidth="1" min="18" max="18" width="10.0"/>
    <col customWidth="1" min="19" max="19" width="9.13"/>
    <col customWidth="1" min="20" max="20" width="9.0"/>
    <col customWidth="1" min="21" max="21" width="8.5"/>
    <col customWidth="1" min="22" max="30" width="8.88"/>
    <col customWidth="1" min="31" max="31" width="9.63"/>
    <col customWidth="1" min="32" max="38" width="8.88"/>
  </cols>
  <sheetData>
    <row r="1" ht="25.5" customHeight="1">
      <c r="A1" s="29"/>
      <c r="B1" s="29"/>
      <c r="C1" s="29"/>
      <c r="D1" s="29"/>
      <c r="E1" s="384" t="s">
        <v>654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ht="13.5" customHeight="1">
      <c r="A2" s="29"/>
      <c r="B2" s="29"/>
      <c r="C2" s="29"/>
      <c r="D2" s="385" t="s">
        <v>655</v>
      </c>
      <c r="E2" s="386">
        <f>'Tính dầm chính'!J19</f>
        <v>84.45036</v>
      </c>
      <c r="F2" s="385" t="s">
        <v>656</v>
      </c>
      <c r="G2" s="387">
        <f>'Tính dầm chính'!I21</f>
        <v>100.386</v>
      </c>
      <c r="H2" s="29"/>
      <c r="I2" s="29"/>
      <c r="J2" s="29"/>
      <c r="K2" s="29"/>
      <c r="L2" s="29"/>
      <c r="M2" s="29"/>
      <c r="N2" s="29"/>
      <c r="O2" s="29"/>
      <c r="P2" s="29"/>
      <c r="Q2" s="384" t="s">
        <v>657</v>
      </c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ht="23.25" customHeight="1">
      <c r="A3" s="29"/>
      <c r="B3" s="29"/>
      <c r="C3" s="29"/>
      <c r="D3" s="29"/>
      <c r="E3" s="388" t="s">
        <v>658</v>
      </c>
      <c r="F3" s="389"/>
      <c r="G3" s="389"/>
      <c r="H3" s="389"/>
      <c r="I3" s="390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ht="13.5" customHeight="1">
      <c r="A4" s="29"/>
      <c r="B4" s="29"/>
      <c r="C4" s="391" t="s">
        <v>659</v>
      </c>
      <c r="D4" s="392"/>
      <c r="E4" s="393" t="s">
        <v>660</v>
      </c>
      <c r="F4" s="394"/>
      <c r="G4" s="394"/>
      <c r="H4" s="394"/>
      <c r="I4" s="394"/>
      <c r="J4" s="394"/>
      <c r="K4" s="395"/>
      <c r="L4" s="396"/>
      <c r="M4" s="29"/>
      <c r="N4" s="391" t="s">
        <v>659</v>
      </c>
      <c r="O4" s="392"/>
      <c r="P4" s="393" t="s">
        <v>660</v>
      </c>
      <c r="Q4" s="394"/>
      <c r="R4" s="394"/>
      <c r="S4" s="394"/>
      <c r="T4" s="394"/>
      <c r="U4" s="395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ht="52.5" customHeight="1">
      <c r="A5" s="29"/>
      <c r="B5" s="29"/>
      <c r="C5" s="397"/>
      <c r="D5" s="398"/>
      <c r="E5" s="399" t="s">
        <v>661</v>
      </c>
      <c r="F5" s="399" t="s">
        <v>662</v>
      </c>
      <c r="G5" s="399" t="s">
        <v>663</v>
      </c>
      <c r="H5" s="399" t="s">
        <v>664</v>
      </c>
      <c r="I5" s="399"/>
      <c r="J5" s="399" t="s">
        <v>665</v>
      </c>
      <c r="K5" s="399" t="s">
        <v>666</v>
      </c>
      <c r="L5" s="396"/>
      <c r="M5" s="29"/>
      <c r="N5" s="397"/>
      <c r="O5" s="398"/>
      <c r="P5" s="399" t="s">
        <v>661</v>
      </c>
      <c r="Q5" s="399" t="s">
        <v>662</v>
      </c>
      <c r="R5" s="399" t="s">
        <v>663</v>
      </c>
      <c r="S5" s="399" t="s">
        <v>664</v>
      </c>
      <c r="T5" s="399" t="s">
        <v>665</v>
      </c>
      <c r="U5" s="399" t="s">
        <v>666</v>
      </c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ht="13.5" customHeight="1">
      <c r="A6" s="29"/>
      <c r="B6" s="29"/>
      <c r="C6" s="400" t="s">
        <v>667</v>
      </c>
      <c r="D6" s="401" t="s">
        <v>152</v>
      </c>
      <c r="E6" s="402">
        <v>0.714</v>
      </c>
      <c r="F6" s="403"/>
      <c r="G6" s="402">
        <v>-1.286</v>
      </c>
      <c r="H6" s="402">
        <v>1.005</v>
      </c>
      <c r="I6" s="402"/>
      <c r="J6" s="403"/>
      <c r="K6" s="402">
        <v>-0.995</v>
      </c>
      <c r="L6" s="396"/>
      <c r="M6" s="29"/>
      <c r="N6" s="400" t="s">
        <v>667</v>
      </c>
      <c r="O6" s="401" t="s">
        <v>152</v>
      </c>
      <c r="P6" s="402">
        <v>0.733</v>
      </c>
      <c r="Q6" s="403"/>
      <c r="R6" s="402">
        <v>-1.267</v>
      </c>
      <c r="S6" s="402">
        <v>1.0</v>
      </c>
      <c r="T6" s="403"/>
      <c r="U6" s="405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</row>
    <row r="7" ht="13.5" customHeight="1">
      <c r="A7" s="29"/>
      <c r="B7" s="29"/>
      <c r="C7" s="407"/>
      <c r="D7" s="408" t="s">
        <v>582</v>
      </c>
      <c r="E7" s="409">
        <f>E6*E2</f>
        <v>60.29755704</v>
      </c>
      <c r="F7" s="409">
        <f>(E7+G7)/2</f>
        <v>-24.15280296</v>
      </c>
      <c r="G7" s="409">
        <f>G6*E2</f>
        <v>-108.603163</v>
      </c>
      <c r="H7" s="409">
        <f>H6*E2</f>
        <v>84.8726118</v>
      </c>
      <c r="I7" s="409"/>
      <c r="J7" s="409">
        <f>(H7+K7)/2</f>
        <v>0.4222518</v>
      </c>
      <c r="K7" s="409">
        <f>K6*E2</f>
        <v>-84.0281082</v>
      </c>
      <c r="L7" s="396"/>
      <c r="M7" s="29"/>
      <c r="N7" s="407"/>
      <c r="O7" s="408" t="s">
        <v>582</v>
      </c>
      <c r="P7" s="411">
        <f>P6*E2</f>
        <v>61.90211388</v>
      </c>
      <c r="Q7" s="411">
        <f>(P7+R7)/2</f>
        <v>-22.54824612</v>
      </c>
      <c r="R7" s="411">
        <f>R6*E2</f>
        <v>-106.9986061</v>
      </c>
      <c r="S7" s="411">
        <f>S6*E2</f>
        <v>84.45036</v>
      </c>
      <c r="T7" s="411">
        <f>(S7+U7)/2</f>
        <v>84.45036</v>
      </c>
      <c r="U7" s="411">
        <f>S7</f>
        <v>84.45036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ht="13.5" customHeight="1">
      <c r="A8" s="29"/>
      <c r="B8" s="29"/>
      <c r="C8" s="400" t="s">
        <v>670</v>
      </c>
      <c r="D8" s="401" t="s">
        <v>152</v>
      </c>
      <c r="E8" s="402">
        <v>0.857</v>
      </c>
      <c r="F8" s="403"/>
      <c r="G8" s="402">
        <v>-1.143</v>
      </c>
      <c r="H8" s="402">
        <v>0.048</v>
      </c>
      <c r="I8" s="402"/>
      <c r="J8" s="403"/>
      <c r="K8" s="402" t="s">
        <v>671</v>
      </c>
      <c r="L8" s="396"/>
      <c r="M8" s="29"/>
      <c r="N8" s="400" t="s">
        <v>670</v>
      </c>
      <c r="O8" s="401" t="s">
        <v>152</v>
      </c>
      <c r="P8" s="402">
        <v>0.867</v>
      </c>
      <c r="Q8" s="403"/>
      <c r="R8" s="402">
        <v>-1.133</v>
      </c>
      <c r="S8" s="405"/>
      <c r="T8" s="403"/>
      <c r="U8" s="405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</row>
    <row r="9" ht="13.5" customHeight="1">
      <c r="A9" s="29"/>
      <c r="B9" s="29"/>
      <c r="C9" s="407"/>
      <c r="D9" s="408" t="s">
        <v>582</v>
      </c>
      <c r="E9" s="409">
        <f>E8*G2</f>
        <v>86.030802</v>
      </c>
      <c r="F9" s="409">
        <f>(E9+G9)/2</f>
        <v>-14.355198</v>
      </c>
      <c r="G9" s="409">
        <f>G8*G2</f>
        <v>-114.741198</v>
      </c>
      <c r="H9" s="409">
        <f>H8*G2</f>
        <v>4.818528</v>
      </c>
      <c r="I9" s="409"/>
      <c r="J9" s="403"/>
      <c r="K9" s="403"/>
      <c r="L9" s="396"/>
      <c r="M9" s="29"/>
      <c r="N9" s="407"/>
      <c r="O9" s="408" t="s">
        <v>582</v>
      </c>
      <c r="P9" s="411">
        <f>P8*M13</f>
        <v>87.034662</v>
      </c>
      <c r="Q9" s="411">
        <f>(P9+R9)/2</f>
        <v>-13.351338</v>
      </c>
      <c r="R9" s="411">
        <f>R8*M13</f>
        <v>-113.737338</v>
      </c>
      <c r="S9" s="412"/>
      <c r="T9" s="405"/>
      <c r="U9" s="405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</row>
    <row r="10" ht="13.5" customHeight="1">
      <c r="A10" s="29"/>
      <c r="B10" s="29"/>
      <c r="C10" s="400" t="s">
        <v>673</v>
      </c>
      <c r="D10" s="401" t="s">
        <v>152</v>
      </c>
      <c r="E10" s="402">
        <v>-0.143</v>
      </c>
      <c r="F10" s="403"/>
      <c r="G10" s="402">
        <v>-0.143</v>
      </c>
      <c r="H10" s="402">
        <v>1.048</v>
      </c>
      <c r="I10" s="402"/>
      <c r="J10" s="403"/>
      <c r="K10" s="402">
        <v>-0.952</v>
      </c>
      <c r="L10" s="396"/>
      <c r="M10" s="29"/>
      <c r="N10" s="400" t="s">
        <v>673</v>
      </c>
      <c r="O10" s="401" t="s">
        <v>152</v>
      </c>
      <c r="P10" s="402">
        <v>-0.133</v>
      </c>
      <c r="Q10" s="403"/>
      <c r="R10" s="402">
        <v>-0.133</v>
      </c>
      <c r="S10" s="402">
        <v>1.0</v>
      </c>
      <c r="T10" s="403"/>
      <c r="U10" s="405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</row>
    <row r="11" ht="13.5" customHeight="1">
      <c r="A11" s="29"/>
      <c r="B11" s="29"/>
      <c r="C11" s="407"/>
      <c r="D11" s="408" t="s">
        <v>582</v>
      </c>
      <c r="E11" s="409">
        <f>E10*G2</f>
        <v>-14.355198</v>
      </c>
      <c r="F11" s="409">
        <f>(E11+G11)/2</f>
        <v>-14.355198</v>
      </c>
      <c r="G11" s="409">
        <f>G10*G2</f>
        <v>-14.355198</v>
      </c>
      <c r="H11" s="409">
        <f>H10*G2</f>
        <v>105.204528</v>
      </c>
      <c r="I11" s="409"/>
      <c r="J11" s="409">
        <f>(H11+K11)/2</f>
        <v>4.818528</v>
      </c>
      <c r="K11" s="409">
        <f>K10*G2</f>
        <v>-95.567472</v>
      </c>
      <c r="L11" s="396"/>
      <c r="M11" s="29"/>
      <c r="N11" s="407"/>
      <c r="O11" s="408" t="s">
        <v>582</v>
      </c>
      <c r="P11" s="411">
        <f>P10*M13</f>
        <v>-13.351338</v>
      </c>
      <c r="Q11" s="411">
        <f>(P11+R11)/2</f>
        <v>-13.351338</v>
      </c>
      <c r="R11" s="411">
        <f>R10*M13</f>
        <v>-13.351338</v>
      </c>
      <c r="S11" s="411">
        <f>S10*M13</f>
        <v>100.386</v>
      </c>
      <c r="T11" s="411">
        <f>(S11+U11)/2</f>
        <v>43.517331</v>
      </c>
      <c r="U11" s="411">
        <f>R11</f>
        <v>-13.351338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ht="13.5" customHeight="1">
      <c r="A12" s="29"/>
      <c r="B12" s="29"/>
      <c r="C12" s="400" t="s">
        <v>675</v>
      </c>
      <c r="D12" s="401" t="s">
        <v>152</v>
      </c>
      <c r="E12" s="402">
        <v>0.679</v>
      </c>
      <c r="F12" s="403"/>
      <c r="G12" s="402">
        <v>-1.321</v>
      </c>
      <c r="H12" s="402">
        <v>1.274</v>
      </c>
      <c r="I12" s="402"/>
      <c r="J12" s="403"/>
      <c r="K12" s="402">
        <v>-0.726</v>
      </c>
      <c r="L12" s="396"/>
      <c r="M12" s="413" t="s">
        <v>676</v>
      </c>
      <c r="N12" s="400" t="s">
        <v>675</v>
      </c>
      <c r="O12" s="401" t="s">
        <v>152</v>
      </c>
      <c r="P12" s="402">
        <v>0.689</v>
      </c>
      <c r="Q12" s="403"/>
      <c r="R12" s="402">
        <v>-1.311</v>
      </c>
      <c r="S12" s="402">
        <v>1.222</v>
      </c>
      <c r="T12" s="403"/>
      <c r="U12" s="414">
        <v>-0.778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</row>
    <row r="13" ht="13.5" customHeight="1">
      <c r="A13" s="29"/>
      <c r="B13" s="29"/>
      <c r="C13" s="407"/>
      <c r="D13" s="408" t="s">
        <v>582</v>
      </c>
      <c r="E13" s="409">
        <f>E12*G2</f>
        <v>68.162094</v>
      </c>
      <c r="F13" s="409">
        <f>(E13+G13)/2</f>
        <v>-32.223906</v>
      </c>
      <c r="G13" s="409">
        <f>G12*G2</f>
        <v>-132.609906</v>
      </c>
      <c r="H13" s="409">
        <f>H12*G2</f>
        <v>127.891764</v>
      </c>
      <c r="I13" s="409"/>
      <c r="J13" s="409">
        <f>(H13+K13)/2</f>
        <v>27.505764</v>
      </c>
      <c r="K13" s="409">
        <f>K12*G2</f>
        <v>-72.880236</v>
      </c>
      <c r="L13" s="396"/>
      <c r="M13" s="416">
        <f>'Tính dầm chính'!I21</f>
        <v>100.386</v>
      </c>
      <c r="N13" s="407"/>
      <c r="O13" s="408" t="s">
        <v>582</v>
      </c>
      <c r="P13" s="411">
        <f>P12*M13</f>
        <v>69.165954</v>
      </c>
      <c r="Q13" s="411">
        <f>(P13+R13)/2</f>
        <v>-31.220046</v>
      </c>
      <c r="R13" s="411">
        <f>R12*M13</f>
        <v>-131.606046</v>
      </c>
      <c r="S13" s="411">
        <f>S12*M13</f>
        <v>122.671692</v>
      </c>
      <c r="T13" s="411">
        <f>(S13+U13)/2</f>
        <v>22.285692</v>
      </c>
      <c r="U13" s="411">
        <f>U12*M13</f>
        <v>-78.100308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</row>
    <row r="14" ht="13.5" customHeight="1">
      <c r="A14" s="29"/>
      <c r="B14" s="29"/>
      <c r="C14" s="400" t="s">
        <v>678</v>
      </c>
      <c r="D14" s="401" t="s">
        <v>152</v>
      </c>
      <c r="E14" s="402">
        <v>-0.095</v>
      </c>
      <c r="F14" s="403"/>
      <c r="G14" s="402">
        <v>-0.095</v>
      </c>
      <c r="H14" s="402">
        <v>0.81</v>
      </c>
      <c r="I14" s="402"/>
      <c r="J14" s="403"/>
      <c r="K14" s="402">
        <v>-1.19</v>
      </c>
      <c r="L14" s="396"/>
      <c r="M14" s="29"/>
      <c r="N14" s="400" t="s">
        <v>678</v>
      </c>
      <c r="O14" s="401" t="s">
        <v>152</v>
      </c>
      <c r="P14" s="405"/>
      <c r="Q14" s="403"/>
      <c r="R14" s="402">
        <v>0.044</v>
      </c>
      <c r="S14" s="402">
        <v>-0.222</v>
      </c>
      <c r="T14" s="403"/>
      <c r="U14" s="412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</row>
    <row r="15" ht="13.5" customHeight="1">
      <c r="A15" s="29"/>
      <c r="B15" s="29"/>
      <c r="C15" s="407"/>
      <c r="D15" s="408" t="s">
        <v>582</v>
      </c>
      <c r="E15" s="409">
        <f>E14*G2</f>
        <v>-9.53667</v>
      </c>
      <c r="F15" s="409">
        <f>(E15+G15)/2</f>
        <v>-9.53667</v>
      </c>
      <c r="G15" s="409">
        <f>G14*G2</f>
        <v>-9.53667</v>
      </c>
      <c r="H15" s="409">
        <f>H14*G2</f>
        <v>81.31266</v>
      </c>
      <c r="I15" s="409"/>
      <c r="J15" s="409">
        <f>(H15+K15)/2</f>
        <v>-19.07334</v>
      </c>
      <c r="K15" s="409">
        <f>K14*G2</f>
        <v>-119.45934</v>
      </c>
      <c r="L15" s="396"/>
      <c r="M15" s="29"/>
      <c r="N15" s="407"/>
      <c r="O15" s="408" t="s">
        <v>582</v>
      </c>
      <c r="P15" s="411">
        <f>P14*R2</f>
        <v>0</v>
      </c>
      <c r="Q15" s="411">
        <f>(P15+R15)/2</f>
        <v>2.208492</v>
      </c>
      <c r="R15" s="411">
        <f>R14*M13</f>
        <v>4.416984</v>
      </c>
      <c r="S15" s="411">
        <f>S14*M13</f>
        <v>-22.285692</v>
      </c>
      <c r="T15" s="411">
        <f>(S15+U15)/2</f>
        <v>-8.934354</v>
      </c>
      <c r="U15" s="411">
        <f>R15</f>
        <v>4.416984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ht="13.5" customHeight="1">
      <c r="A16" s="29"/>
      <c r="B16" s="29"/>
      <c r="C16" s="400" t="s">
        <v>680</v>
      </c>
      <c r="D16" s="401" t="s">
        <v>152</v>
      </c>
      <c r="E16" s="402">
        <v>0.81</v>
      </c>
      <c r="F16" s="403"/>
      <c r="G16" s="402">
        <v>-1.19</v>
      </c>
      <c r="H16" s="402">
        <v>0.286</v>
      </c>
      <c r="I16" s="402"/>
      <c r="J16" s="403"/>
      <c r="K16" s="402">
        <v>0.286</v>
      </c>
      <c r="L16" s="396"/>
      <c r="M16" s="29"/>
      <c r="N16" s="400"/>
      <c r="O16" s="401"/>
      <c r="P16" s="405"/>
      <c r="Q16" s="403"/>
      <c r="R16" s="405"/>
      <c r="S16" s="405"/>
      <c r="T16" s="403"/>
      <c r="U16" s="405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</row>
    <row r="17" ht="13.5" customHeight="1">
      <c r="A17" s="29"/>
      <c r="B17" s="29"/>
      <c r="C17" s="407"/>
      <c r="D17" s="408" t="s">
        <v>582</v>
      </c>
      <c r="E17" s="409">
        <f>E16*G2</f>
        <v>81.31266</v>
      </c>
      <c r="F17" s="409">
        <f>(E17+G17)/2</f>
        <v>-19.07334</v>
      </c>
      <c r="G17" s="409">
        <f>G16*M13</f>
        <v>-119.45934</v>
      </c>
      <c r="H17" s="409">
        <f>H16*M13</f>
        <v>28.710396</v>
      </c>
      <c r="I17" s="409"/>
      <c r="J17" s="409">
        <f>(H17+K17)/2</f>
        <v>28.710396</v>
      </c>
      <c r="K17" s="409">
        <f>K16*M13</f>
        <v>28.710396</v>
      </c>
      <c r="L17" s="396"/>
      <c r="M17" s="29"/>
      <c r="N17" s="407"/>
      <c r="O17" s="408"/>
      <c r="P17" s="403"/>
      <c r="Q17" s="403"/>
      <c r="R17" s="403"/>
      <c r="S17" s="403"/>
      <c r="T17" s="403"/>
      <c r="U17" s="403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</row>
    <row r="18" ht="13.5" customHeight="1">
      <c r="A18" s="29"/>
      <c r="B18" s="29"/>
      <c r="C18" s="400" t="s">
        <v>682</v>
      </c>
      <c r="D18" s="401" t="s">
        <v>152</v>
      </c>
      <c r="E18" s="402"/>
      <c r="F18" s="403" t="s">
        <v>671</v>
      </c>
      <c r="G18" s="402">
        <v>0.036</v>
      </c>
      <c r="H18" s="402"/>
      <c r="I18" s="402"/>
      <c r="J18" s="417">
        <v>0.0</v>
      </c>
      <c r="K18" s="402"/>
      <c r="L18" s="396"/>
      <c r="M18" s="29"/>
      <c r="N18" s="400"/>
      <c r="O18" s="401"/>
      <c r="P18" s="405"/>
      <c r="Q18" s="403"/>
      <c r="R18" s="405"/>
      <c r="S18" s="405"/>
      <c r="T18" s="417"/>
      <c r="U18" s="405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ht="13.5" customHeight="1">
      <c r="A19" s="29"/>
      <c r="B19" s="29"/>
      <c r="C19" s="407"/>
      <c r="D19" s="408" t="s">
        <v>582</v>
      </c>
      <c r="E19" s="403"/>
      <c r="F19" s="417">
        <v>0.0</v>
      </c>
      <c r="G19" s="403">
        <f>G18*M13</f>
        <v>3.613896</v>
      </c>
      <c r="H19" s="403"/>
      <c r="I19" s="403"/>
      <c r="J19" s="417">
        <v>0.0</v>
      </c>
      <c r="K19" s="417">
        <f>K18*'Tính dầm chính'!N31</f>
        <v>0</v>
      </c>
      <c r="L19" s="396"/>
      <c r="M19" s="29"/>
      <c r="N19" s="407"/>
      <c r="O19" s="408"/>
      <c r="P19" s="403"/>
      <c r="Q19" s="417"/>
      <c r="R19" s="403"/>
      <c r="S19" s="403"/>
      <c r="T19" s="417"/>
      <c r="U19" s="417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</row>
    <row r="20" ht="13.5" customHeight="1">
      <c r="A20" s="29"/>
      <c r="B20" s="29"/>
      <c r="C20" s="419" t="s">
        <v>684</v>
      </c>
      <c r="E20" s="420">
        <f>E7+E25</f>
        <v>45.94235904</v>
      </c>
      <c r="F20" s="420">
        <f t="shared" ref="F20:G20" si="1">F7+F26</f>
        <v>-33.68947296</v>
      </c>
      <c r="G20" s="420">
        <f t="shared" si="1"/>
        <v>-104.989267</v>
      </c>
      <c r="H20" s="420">
        <f>H25+H7</f>
        <v>89.6911398</v>
      </c>
      <c r="I20" s="409"/>
      <c r="J20" s="420">
        <f>J25+J7</f>
        <v>-18.6510882</v>
      </c>
      <c r="K20" s="420">
        <f>K26+K7</f>
        <v>-55.3177122</v>
      </c>
      <c r="L20" s="396"/>
      <c r="M20" s="29"/>
      <c r="N20" s="419" t="s">
        <v>684</v>
      </c>
      <c r="P20" s="420">
        <f>P7+P11</f>
        <v>48.55077588</v>
      </c>
      <c r="Q20" s="420">
        <f t="shared" ref="Q20:T20" si="2">Q7+Q15</f>
        <v>-20.33975412</v>
      </c>
      <c r="R20" s="420">
        <f t="shared" si="2"/>
        <v>-102.5816221</v>
      </c>
      <c r="S20" s="420">
        <f t="shared" si="2"/>
        <v>62.164668</v>
      </c>
      <c r="T20" s="420">
        <f t="shared" si="2"/>
        <v>75.516006</v>
      </c>
      <c r="U20" s="422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</row>
    <row r="21" ht="13.5" customHeight="1">
      <c r="A21" s="29"/>
      <c r="B21" s="29"/>
      <c r="C21" s="397"/>
      <c r="D21" s="389"/>
      <c r="E21" s="407"/>
      <c r="F21" s="407"/>
      <c r="G21" s="407"/>
      <c r="H21" s="407"/>
      <c r="I21" s="409"/>
      <c r="J21" s="407"/>
      <c r="K21" s="407"/>
      <c r="L21" s="396"/>
      <c r="M21" s="29"/>
      <c r="N21" s="397"/>
      <c r="O21" s="389"/>
      <c r="P21" s="407"/>
      <c r="Q21" s="407"/>
      <c r="R21" s="407"/>
      <c r="S21" s="407"/>
      <c r="T21" s="407"/>
      <c r="U21" s="407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</row>
    <row r="22" ht="13.5" customHeight="1">
      <c r="A22" s="29"/>
      <c r="B22" s="29"/>
      <c r="C22" s="391" t="s">
        <v>685</v>
      </c>
      <c r="D22" s="424"/>
      <c r="E22" s="420">
        <f>E26+E7</f>
        <v>146.328359</v>
      </c>
      <c r="F22" s="420">
        <f t="shared" ref="F22:G22" si="3">F25+F7</f>
        <v>-56.37670896</v>
      </c>
      <c r="G22" s="420">
        <f t="shared" si="3"/>
        <v>-241.213069</v>
      </c>
      <c r="H22" s="420">
        <f>H26+H7</f>
        <v>212.7643758</v>
      </c>
      <c r="I22" s="409"/>
      <c r="J22" s="420">
        <f>J26+J7</f>
        <v>29.1326478</v>
      </c>
      <c r="K22" s="420">
        <f>K25+K7</f>
        <v>-203.4874482</v>
      </c>
      <c r="L22" s="396"/>
      <c r="M22" s="29"/>
      <c r="N22" s="391" t="s">
        <v>685</v>
      </c>
      <c r="O22" s="424"/>
      <c r="P22" s="420">
        <f>P7+P9</f>
        <v>148.9367759</v>
      </c>
      <c r="Q22" s="420">
        <f t="shared" ref="Q22:R22" si="4">Q7+Q13</f>
        <v>-53.76829212</v>
      </c>
      <c r="R22" s="420">
        <f t="shared" si="4"/>
        <v>-238.6046521</v>
      </c>
      <c r="S22" s="420">
        <f t="shared" ref="S22:T22" si="5">S7+S11</f>
        <v>184.83636</v>
      </c>
      <c r="T22" s="420">
        <f t="shared" si="5"/>
        <v>127.967691</v>
      </c>
      <c r="U22" s="422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</row>
    <row r="23" ht="13.5" customHeight="1">
      <c r="A23" s="29"/>
      <c r="B23" s="29"/>
      <c r="C23" s="397"/>
      <c r="D23" s="389"/>
      <c r="E23" s="407"/>
      <c r="F23" s="407"/>
      <c r="G23" s="407"/>
      <c r="H23" s="407"/>
      <c r="I23" s="409"/>
      <c r="J23" s="407"/>
      <c r="K23" s="407"/>
      <c r="L23" s="396"/>
      <c r="M23" s="29"/>
      <c r="N23" s="397"/>
      <c r="O23" s="389"/>
      <c r="P23" s="407"/>
      <c r="Q23" s="407"/>
      <c r="R23" s="407"/>
      <c r="S23" s="407"/>
      <c r="T23" s="407"/>
      <c r="U23" s="407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</row>
    <row r="24" ht="13.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</row>
    <row r="25" ht="13.5" hidden="1" customHeight="1">
      <c r="A25" s="29"/>
      <c r="B25" s="29"/>
      <c r="C25" s="29"/>
      <c r="D25" s="29"/>
      <c r="E25" s="425">
        <f t="shared" ref="E25:H25" si="6">MIN(E9,E11,E13,E15,E17,E19)</f>
        <v>-14.355198</v>
      </c>
      <c r="F25" s="425">
        <f t="shared" si="6"/>
        <v>-32.223906</v>
      </c>
      <c r="G25" s="425">
        <f t="shared" si="6"/>
        <v>-132.609906</v>
      </c>
      <c r="H25" s="425">
        <f t="shared" si="6"/>
        <v>4.818528</v>
      </c>
      <c r="I25" s="425"/>
      <c r="J25" s="425">
        <f t="shared" ref="J25:K25" si="7">MIN(J9,J11,J13,J15,J17,J19)</f>
        <v>-19.07334</v>
      </c>
      <c r="K25" s="425">
        <f t="shared" si="7"/>
        <v>-119.45934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</row>
    <row r="26" ht="13.5" hidden="1" customHeight="1">
      <c r="A26" s="29"/>
      <c r="B26" s="29"/>
      <c r="C26" s="29"/>
      <c r="D26" s="29"/>
      <c r="E26" s="432">
        <f>MAX(E17,E15,E13,E11,E9,E19)</f>
        <v>86.030802</v>
      </c>
      <c r="F26" s="432">
        <f>MAX(F17,F15,F13,F11,F9)</f>
        <v>-9.53667</v>
      </c>
      <c r="G26" s="432">
        <f>MAX(G17,G15,G13,G11,G9,G19)</f>
        <v>3.613896</v>
      </c>
      <c r="H26" s="432">
        <f>MAX(H17,H15,H13,H11,H9)</f>
        <v>127.891764</v>
      </c>
      <c r="I26" s="432"/>
      <c r="J26" s="432">
        <f t="shared" ref="J26:K26" si="8">MAX(J17,J15,J13,J11,J9)</f>
        <v>28.710396</v>
      </c>
      <c r="K26" s="432">
        <f t="shared" si="8"/>
        <v>28.710396</v>
      </c>
      <c r="L26" s="434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</row>
    <row r="27" ht="13.5" hidden="1" customHeight="1">
      <c r="A27" s="29"/>
      <c r="B27" s="29"/>
      <c r="C27" s="29"/>
      <c r="D27" s="29"/>
      <c r="E27" s="432">
        <f>E7+E26</f>
        <v>146.328359</v>
      </c>
      <c r="F27" s="434"/>
      <c r="G27" s="434"/>
      <c r="H27" s="434"/>
      <c r="I27" s="434"/>
      <c r="J27" s="434"/>
      <c r="K27" s="434"/>
      <c r="L27" s="434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ht="13.5" customHeight="1">
      <c r="A28" s="29"/>
      <c r="B28" s="29"/>
      <c r="C28" s="317" t="s">
        <v>686</v>
      </c>
      <c r="D28" s="29"/>
      <c r="E28" s="434"/>
      <c r="F28" s="434"/>
      <c r="G28" s="434"/>
      <c r="H28" s="434"/>
      <c r="I28" s="434"/>
      <c r="J28" s="434"/>
      <c r="K28" s="434"/>
      <c r="L28" s="434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</row>
    <row r="29" ht="18.0" customHeight="1">
      <c r="A29" s="29"/>
      <c r="B29" s="435"/>
      <c r="C29" s="435"/>
      <c r="D29" s="435" t="s">
        <v>687</v>
      </c>
      <c r="E29" s="436">
        <f>'Nhập Rs thep CV240,300,400 '!E52</f>
        <v>11.5</v>
      </c>
      <c r="F29" s="437" t="s">
        <v>688</v>
      </c>
      <c r="G29" s="438"/>
      <c r="H29" s="438"/>
      <c r="I29" s="438"/>
      <c r="J29" s="11" t="s">
        <v>4</v>
      </c>
      <c r="K29" s="12"/>
      <c r="L29" s="12"/>
      <c r="M29" s="12"/>
      <c r="N29" s="12"/>
      <c r="O29" s="12"/>
      <c r="P29" s="13"/>
      <c r="Q29" s="439"/>
      <c r="R29" s="439"/>
      <c r="S29" s="439"/>
      <c r="T29" s="43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ht="18.0" customHeight="1">
      <c r="A30" s="29"/>
      <c r="B30" s="435"/>
      <c r="C30" s="435"/>
      <c r="D30" s="435" t="s">
        <v>689</v>
      </c>
      <c r="E30" s="436">
        <f>'Nhập Rs thep CV240,300,400 '!J54</f>
        <v>260</v>
      </c>
      <c r="F30" s="437" t="s">
        <v>688</v>
      </c>
      <c r="G30" s="438"/>
      <c r="H30" s="438"/>
      <c r="I30" s="438"/>
      <c r="J30" s="14"/>
      <c r="K30" s="15"/>
      <c r="L30" s="15"/>
      <c r="M30" s="15"/>
      <c r="N30" s="15"/>
      <c r="O30" s="15"/>
      <c r="P30" s="16"/>
      <c r="Q30" s="439"/>
      <c r="R30" s="439"/>
      <c r="S30" s="439"/>
      <c r="T30" s="43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</row>
    <row r="31" ht="18.0" customHeight="1">
      <c r="A31" s="29"/>
      <c r="B31" s="435"/>
      <c r="C31" s="435"/>
      <c r="D31" s="440" t="s">
        <v>690</v>
      </c>
      <c r="E31" s="436">
        <v>0.65</v>
      </c>
      <c r="F31" s="438"/>
      <c r="G31" s="438"/>
      <c r="H31" s="438"/>
      <c r="I31" s="438"/>
      <c r="J31" s="265" t="s">
        <v>12</v>
      </c>
      <c r="K31" s="20"/>
      <c r="L31" s="20"/>
      <c r="M31" s="20"/>
      <c r="N31" s="20"/>
      <c r="O31" s="20"/>
      <c r="P31" s="21"/>
      <c r="Q31" s="439"/>
      <c r="R31" s="439"/>
      <c r="S31" s="439"/>
      <c r="T31" s="43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ht="18.0" customHeight="1">
      <c r="A32" s="29"/>
      <c r="B32" s="435"/>
      <c r="C32" s="435"/>
      <c r="D32" s="440" t="s">
        <v>691</v>
      </c>
      <c r="E32" s="436">
        <v>0.675</v>
      </c>
      <c r="F32" s="437"/>
      <c r="G32" s="438"/>
      <c r="H32" s="438"/>
      <c r="I32" s="438"/>
      <c r="J32" s="74"/>
      <c r="K32" s="75"/>
      <c r="L32" s="75"/>
      <c r="M32" s="75"/>
      <c r="N32" s="75"/>
      <c r="O32" s="75"/>
      <c r="P32" s="76"/>
      <c r="Q32" s="439"/>
      <c r="R32" s="439"/>
      <c r="S32" s="439"/>
      <c r="T32" s="43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3" ht="13.5" customHeight="1">
      <c r="A33" s="29"/>
      <c r="B33" s="435"/>
      <c r="C33" s="435"/>
      <c r="D33" s="440" t="s">
        <v>692</v>
      </c>
      <c r="E33" s="436">
        <v>0.439</v>
      </c>
      <c r="F33" s="438"/>
      <c r="G33" s="438"/>
      <c r="H33" s="438"/>
      <c r="I33" s="438"/>
      <c r="J33" s="438"/>
      <c r="K33" s="438"/>
      <c r="L33" s="438"/>
      <c r="M33" s="435"/>
      <c r="N33" s="435"/>
      <c r="O33" s="435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</row>
    <row r="34" ht="13.5" customHeight="1">
      <c r="A34" s="29"/>
      <c r="B34" s="435"/>
      <c r="C34" s="435" t="s">
        <v>693</v>
      </c>
      <c r="D34" s="435"/>
      <c r="E34" s="438"/>
      <c r="F34" s="438"/>
      <c r="G34" s="438"/>
      <c r="H34" s="438"/>
      <c r="I34" s="438"/>
      <c r="J34" s="438"/>
      <c r="K34" s="438"/>
      <c r="L34" s="438"/>
      <c r="M34" s="435"/>
      <c r="N34" s="435"/>
      <c r="O34" s="435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</row>
    <row r="35" ht="13.5" customHeight="1">
      <c r="A35" s="29"/>
      <c r="B35" s="435"/>
      <c r="C35" s="435"/>
      <c r="D35" s="435" t="s">
        <v>694</v>
      </c>
      <c r="E35" s="438"/>
      <c r="F35" s="437" t="s">
        <v>695</v>
      </c>
      <c r="G35" s="438">
        <f>'Tính dầm chính'!N3</f>
        <v>300</v>
      </c>
      <c r="H35" s="438" t="s">
        <v>21</v>
      </c>
      <c r="I35" s="438"/>
      <c r="J35" s="438"/>
      <c r="K35" s="438"/>
      <c r="L35" s="438"/>
      <c r="M35" s="435"/>
      <c r="N35" s="435"/>
      <c r="O35" s="435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</row>
    <row r="36" ht="13.5" customHeight="1">
      <c r="A36" s="29"/>
      <c r="B36" s="435"/>
      <c r="C36" s="435"/>
      <c r="D36" s="435"/>
      <c r="E36" s="438"/>
      <c r="F36" s="438" t="s">
        <v>696</v>
      </c>
      <c r="G36" s="438">
        <f>'Tính dầm chính'!L3</f>
        <v>700</v>
      </c>
      <c r="H36" s="438" t="s">
        <v>21</v>
      </c>
      <c r="I36" s="438"/>
      <c r="J36" s="438"/>
      <c r="K36" s="438"/>
      <c r="L36" s="438"/>
      <c r="M36" s="435"/>
      <c r="N36" s="435"/>
      <c r="O36" s="435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</row>
    <row r="37" ht="13.5" customHeight="1">
      <c r="A37" s="29"/>
      <c r="B37" s="435"/>
      <c r="C37" s="435"/>
      <c r="D37" s="435"/>
      <c r="E37" s="438" t="s">
        <v>697</v>
      </c>
      <c r="F37" s="441">
        <v>70.0</v>
      </c>
      <c r="G37" s="438" t="s">
        <v>21</v>
      </c>
      <c r="H37" s="442" t="s">
        <v>698</v>
      </c>
      <c r="I37" s="443"/>
      <c r="J37" s="438"/>
      <c r="K37" s="444"/>
      <c r="L37" s="438"/>
      <c r="M37" s="435"/>
      <c r="N37" s="435"/>
      <c r="O37" s="435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</row>
    <row r="38" ht="13.5" customHeight="1">
      <c r="A38" s="29"/>
      <c r="B38" s="435"/>
      <c r="C38" s="435"/>
      <c r="D38" s="435"/>
      <c r="E38" s="438" t="s">
        <v>699</v>
      </c>
      <c r="F38" s="445">
        <f>G36-F37</f>
        <v>630</v>
      </c>
      <c r="G38" s="438" t="s">
        <v>21</v>
      </c>
      <c r="H38" s="439"/>
      <c r="I38" s="439"/>
      <c r="J38" s="439"/>
      <c r="K38" s="439"/>
      <c r="L38" s="435"/>
      <c r="M38" s="435"/>
      <c r="N38" s="435"/>
      <c r="O38" s="435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ht="13.5" customHeight="1">
      <c r="A39" s="29"/>
      <c r="B39" s="435"/>
      <c r="C39" s="435"/>
      <c r="D39" s="435" t="s">
        <v>700</v>
      </c>
      <c r="E39" s="439"/>
      <c r="F39" s="446">
        <f>'Tính dầm chính'!M135</f>
        <v>395.6854254</v>
      </c>
      <c r="G39" s="438" t="s">
        <v>123</v>
      </c>
      <c r="H39" s="439"/>
      <c r="I39" s="439"/>
      <c r="J39" s="439"/>
      <c r="K39" s="439"/>
      <c r="L39" s="435"/>
      <c r="M39" s="435"/>
      <c r="N39" s="435"/>
      <c r="O39" s="435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</row>
    <row r="40" ht="13.5" customHeight="1">
      <c r="A40" s="29"/>
      <c r="B40" s="435"/>
      <c r="C40" s="435"/>
      <c r="D40" s="435"/>
      <c r="E40" s="438"/>
      <c r="F40" s="438"/>
      <c r="G40" s="438"/>
      <c r="H40" s="438"/>
      <c r="I40" s="438"/>
      <c r="J40" s="438"/>
      <c r="K40" s="439"/>
      <c r="L40" s="435"/>
      <c r="M40" s="435"/>
      <c r="N40" s="435"/>
      <c r="O40" s="435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</row>
    <row r="41" ht="13.5" customHeight="1">
      <c r="A41" s="29"/>
      <c r="B41" s="435"/>
      <c r="C41" s="435"/>
      <c r="D41" s="9"/>
      <c r="E41" s="9"/>
      <c r="F41" s="10"/>
      <c r="G41" s="10"/>
      <c r="H41" s="10"/>
      <c r="I41" s="10"/>
      <c r="J41" s="93">
        <f>F39</f>
        <v>395.6854254</v>
      </c>
      <c r="K41" s="92" t="s">
        <v>84</v>
      </c>
      <c r="L41" s="10">
        <v>1000000.0</v>
      </c>
      <c r="M41" s="10"/>
      <c r="N41" s="10"/>
      <c r="O41" s="10"/>
      <c r="P41" s="10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</row>
    <row r="42" ht="13.5" customHeight="1">
      <c r="A42" s="29"/>
      <c r="B42" s="435"/>
      <c r="C42" s="435"/>
      <c r="D42" s="9"/>
      <c r="E42" s="9"/>
      <c r="F42" s="10"/>
      <c r="G42" s="10"/>
      <c r="H42" s="17" t="s">
        <v>254</v>
      </c>
      <c r="I42" s="10"/>
      <c r="J42" s="10"/>
      <c r="K42" s="10"/>
      <c r="L42" s="10"/>
      <c r="M42" s="10"/>
      <c r="N42" s="93">
        <f>J41*L41/(H43*J43*K43*K43)</f>
        <v>0.2889680717</v>
      </c>
      <c r="O42" s="10" t="str">
        <f>IF(N42&lt;0.225,"&lt;",IF(N42=0.225,"=","&gt;"))</f>
        <v>&gt;</v>
      </c>
      <c r="P42" s="10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3" ht="13.5" customHeight="1">
      <c r="A43" s="29"/>
      <c r="B43" s="435"/>
      <c r="C43" s="435"/>
      <c r="D43" s="9"/>
      <c r="E43" s="9"/>
      <c r="F43" s="10"/>
      <c r="G43" s="10"/>
      <c r="H43" s="18">
        <f>E29</f>
        <v>11.5</v>
      </c>
      <c r="I43" s="18"/>
      <c r="J43" s="18">
        <f>G35</f>
        <v>300</v>
      </c>
      <c r="K43" s="447">
        <f>F38</f>
        <v>630</v>
      </c>
      <c r="L43" s="177">
        <v>2.0</v>
      </c>
      <c r="M43" s="10"/>
      <c r="N43" s="10"/>
      <c r="O43" s="10"/>
      <c r="P43" s="10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</row>
    <row r="44" ht="13.5" customHeight="1">
      <c r="A44" s="29"/>
      <c r="B44" s="435"/>
      <c r="C44" s="435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  <row r="45" ht="13.5" customHeight="1">
      <c r="A45" s="29"/>
      <c r="B45" s="435"/>
      <c r="C45" s="435"/>
      <c r="D45" s="9"/>
      <c r="E45" s="9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</row>
    <row r="46" ht="13.5" customHeight="1">
      <c r="A46" s="29"/>
      <c r="B46" s="435"/>
      <c r="C46" s="435"/>
      <c r="D46" s="9"/>
      <c r="E46" s="9"/>
      <c r="F46" s="10"/>
      <c r="G46" s="10"/>
      <c r="H46" s="10"/>
      <c r="I46" s="10"/>
      <c r="J46" s="10"/>
      <c r="K46" s="179">
        <f>N42</f>
        <v>0.2889680717</v>
      </c>
      <c r="L46" s="17" t="s">
        <v>40</v>
      </c>
      <c r="M46" s="93">
        <f>0.5*(1+SQRT(1-2*K46))</f>
        <v>0.8248322092</v>
      </c>
      <c r="N46" s="10"/>
      <c r="O46" s="10"/>
      <c r="P46" s="10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ht="13.5" customHeight="1">
      <c r="A47" s="29"/>
      <c r="B47" s="435"/>
      <c r="C47" s="435"/>
      <c r="D47" s="9"/>
      <c r="E47" s="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</row>
    <row r="48" ht="13.5" customHeight="1">
      <c r="A48" s="29"/>
      <c r="B48" s="435"/>
      <c r="C48" s="435"/>
      <c r="D48" s="9"/>
      <c r="E48" s="9"/>
      <c r="F48" s="10"/>
      <c r="G48" s="10"/>
      <c r="H48" s="93">
        <f>F39</f>
        <v>395.6854254</v>
      </c>
      <c r="I48" s="93"/>
      <c r="J48" s="92" t="s">
        <v>84</v>
      </c>
      <c r="K48" s="180">
        <f>1000000</f>
        <v>1000000</v>
      </c>
      <c r="L48" s="10"/>
      <c r="M48" s="10"/>
      <c r="N48" s="10"/>
      <c r="O48" s="10"/>
      <c r="P48" s="10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</row>
    <row r="49" ht="13.5" customHeight="1">
      <c r="A49" s="29"/>
      <c r="B49" s="435"/>
      <c r="C49" s="435"/>
      <c r="D49" s="9"/>
      <c r="E49" s="9"/>
      <c r="F49" s="10"/>
      <c r="G49" s="10"/>
      <c r="H49" s="17" t="s">
        <v>259</v>
      </c>
      <c r="I49" s="10"/>
      <c r="J49" s="10"/>
      <c r="K49" s="10"/>
      <c r="L49" s="447">
        <f>H48*K48/(H50*J50*K50)</f>
        <v>2928.670718</v>
      </c>
      <c r="M49" s="105" t="s">
        <v>712</v>
      </c>
      <c r="N49" s="10"/>
      <c r="O49" s="10"/>
      <c r="P49" s="10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</row>
    <row r="50" ht="13.5" customHeight="1">
      <c r="A50" s="29"/>
      <c r="B50" s="435"/>
      <c r="C50" s="435"/>
      <c r="D50" s="9"/>
      <c r="E50" s="9"/>
      <c r="F50" s="10"/>
      <c r="G50" s="10"/>
      <c r="H50" s="10">
        <f>E30</f>
        <v>260</v>
      </c>
      <c r="I50" s="10"/>
      <c r="J50" s="93">
        <f>M46</f>
        <v>0.8248322092</v>
      </c>
      <c r="K50" s="180">
        <f>K43</f>
        <v>630</v>
      </c>
      <c r="L50" s="10"/>
      <c r="M50" s="10"/>
      <c r="N50" s="10"/>
      <c r="O50" s="10"/>
      <c r="P50" s="10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</row>
    <row r="51" ht="13.5" customHeight="1">
      <c r="A51" s="29"/>
      <c r="B51" s="435"/>
      <c r="C51" s="435"/>
      <c r="D51" s="9"/>
      <c r="E51" s="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</row>
    <row r="52" ht="13.5" customHeight="1">
      <c r="A52" s="29"/>
      <c r="B52" s="435"/>
      <c r="C52" s="435"/>
      <c r="D52" s="9"/>
      <c r="E52" s="9"/>
      <c r="F52" s="10"/>
      <c r="G52" s="10"/>
      <c r="H52" s="10"/>
      <c r="I52" s="10"/>
      <c r="J52" s="10"/>
      <c r="K52" s="180">
        <f>L49</f>
        <v>2928.670718</v>
      </c>
      <c r="L52" s="10"/>
      <c r="M52" s="10"/>
      <c r="N52" s="10"/>
      <c r="O52" s="10"/>
      <c r="P52" s="10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</row>
    <row r="53" ht="13.5" customHeight="1">
      <c r="A53" s="29"/>
      <c r="B53" s="435"/>
      <c r="C53" s="435"/>
      <c r="D53" s="9"/>
      <c r="E53" s="9"/>
      <c r="F53" s="10"/>
      <c r="G53" s="10"/>
      <c r="H53" s="10"/>
      <c r="I53" s="10"/>
      <c r="J53" s="17" t="s">
        <v>261</v>
      </c>
      <c r="K53" s="10"/>
      <c r="L53" s="10"/>
      <c r="M53" s="10"/>
      <c r="N53" s="17" t="s">
        <v>40</v>
      </c>
      <c r="O53" s="181">
        <f>K52/(J54*L54)</f>
        <v>0.01549561226</v>
      </c>
      <c r="P53" s="10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</row>
    <row r="54" ht="13.5" customHeight="1">
      <c r="A54" s="29"/>
      <c r="B54" s="435"/>
      <c r="C54" s="435"/>
      <c r="D54" s="9"/>
      <c r="E54" s="9"/>
      <c r="F54" s="10"/>
      <c r="G54" s="10"/>
      <c r="H54" s="10"/>
      <c r="I54" s="10"/>
      <c r="J54" s="18">
        <f>J43</f>
        <v>300</v>
      </c>
      <c r="K54" s="18" t="s">
        <v>84</v>
      </c>
      <c r="L54" s="180">
        <f>K43</f>
        <v>630</v>
      </c>
      <c r="M54" s="10"/>
      <c r="N54" s="10"/>
      <c r="O54" s="10"/>
      <c r="P54" s="10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</row>
    <row r="55" ht="13.5" customHeight="1">
      <c r="A55" s="29"/>
      <c r="B55" s="435"/>
      <c r="C55" s="435"/>
      <c r="D55" s="435" t="s">
        <v>719</v>
      </c>
      <c r="E55" s="439"/>
      <c r="F55" s="448">
        <f>'Tính dầm chính'!M143</f>
        <v>304.9135421</v>
      </c>
      <c r="G55" s="438" t="s">
        <v>123</v>
      </c>
      <c r="H55" s="438"/>
      <c r="I55" s="438"/>
      <c r="J55" s="438"/>
      <c r="K55" s="439"/>
      <c r="L55" s="435"/>
      <c r="M55" s="435"/>
      <c r="N55" s="435"/>
      <c r="O55" s="435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</row>
    <row r="56" ht="13.5" customHeight="1">
      <c r="A56" s="29"/>
      <c r="B56" s="435"/>
      <c r="C56" s="449" t="s">
        <v>720</v>
      </c>
      <c r="F56" s="366" t="s">
        <v>721</v>
      </c>
      <c r="G56" s="93">
        <f>F55*1000000/(H43*J43*K43*K43)</f>
        <v>0.2226775935</v>
      </c>
      <c r="H56" s="450" t="s">
        <v>722</v>
      </c>
      <c r="I56" s="450"/>
      <c r="J56" s="93">
        <f>0.5*(1+SQRT(1-2*G56))</f>
        <v>0.8723723986</v>
      </c>
      <c r="K56" s="47" t="s">
        <v>723</v>
      </c>
      <c r="L56" s="447">
        <f>F55*K48/(H50*J56*K50)</f>
        <v>2133.83532</v>
      </c>
      <c r="M56" s="10" t="s">
        <v>724</v>
      </c>
      <c r="N56" s="366" t="s">
        <v>725</v>
      </c>
      <c r="O56" s="181">
        <f>L56/(J54*L54)</f>
        <v>0.01129013397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</row>
    <row r="57" ht="13.5" customHeight="1">
      <c r="A57" s="29"/>
      <c r="B57" s="435"/>
      <c r="C57" s="435"/>
      <c r="D57" s="435"/>
      <c r="E57" s="439"/>
      <c r="F57" s="438"/>
      <c r="G57" s="438"/>
      <c r="H57" s="438"/>
      <c r="I57" s="438"/>
      <c r="J57" s="438"/>
      <c r="K57" s="439"/>
      <c r="L57" s="435"/>
      <c r="M57" s="435"/>
      <c r="N57" s="435"/>
      <c r="O57" s="435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</row>
    <row r="58" ht="13.5" customHeight="1">
      <c r="A58" s="29"/>
      <c r="B58" s="435"/>
      <c r="C58" s="9" t="s">
        <v>267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</row>
    <row r="59" ht="13.5" customHeight="1">
      <c r="A59" s="29"/>
      <c r="B59" s="435"/>
      <c r="C59" s="9"/>
      <c r="D59" s="10" t="s">
        <v>268</v>
      </c>
      <c r="E59" s="10"/>
      <c r="F59" s="10"/>
      <c r="G59" s="10"/>
      <c r="H59" s="10"/>
      <c r="I59" s="10"/>
      <c r="J59" s="10"/>
      <c r="K59" s="10"/>
      <c r="L59" s="194" t="s">
        <v>726</v>
      </c>
      <c r="M59" s="10">
        <f>'Tính Bản'!M5</f>
        <v>90</v>
      </c>
      <c r="N59" s="10" t="s">
        <v>53</v>
      </c>
      <c r="O59" s="10"/>
      <c r="P59" s="10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</row>
    <row r="60" ht="13.5" customHeight="1">
      <c r="A60" s="29"/>
      <c r="B60" s="435"/>
      <c r="C60" s="47" t="s">
        <v>727</v>
      </c>
      <c r="D60" s="79">
        <v>70.0</v>
      </c>
      <c r="E60" s="47"/>
      <c r="F60" s="7">
        <v>40.0</v>
      </c>
      <c r="G60" s="10" t="s">
        <v>249</v>
      </c>
      <c r="H60" s="26" t="s">
        <v>728</v>
      </c>
      <c r="I60" s="26"/>
      <c r="J60" s="10">
        <f>G36</f>
        <v>700</v>
      </c>
      <c r="K60" s="30" t="s">
        <v>24</v>
      </c>
      <c r="L60" s="10">
        <f>D60</f>
        <v>70</v>
      </c>
      <c r="M60" s="17" t="s">
        <v>40</v>
      </c>
      <c r="N60" s="10">
        <f>J60-L60</f>
        <v>630</v>
      </c>
      <c r="O60" s="10" t="s">
        <v>17</v>
      </c>
      <c r="P60" s="1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</row>
    <row r="61" ht="13.5" customHeight="1">
      <c r="A61" s="29"/>
      <c r="B61" s="435"/>
      <c r="C61" s="9"/>
      <c r="D61" s="10" t="s">
        <v>275</v>
      </c>
      <c r="E61" s="10"/>
      <c r="F61" s="40" t="s">
        <v>729</v>
      </c>
      <c r="G61" s="10" t="s">
        <v>277</v>
      </c>
      <c r="H61" s="10"/>
      <c r="I61" s="10"/>
      <c r="J61" s="10"/>
      <c r="K61" s="10"/>
      <c r="L61" s="10"/>
      <c r="M61" s="10"/>
      <c r="N61" s="10"/>
      <c r="O61" s="10"/>
      <c r="P61" s="10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</row>
    <row r="62" ht="13.5" customHeight="1">
      <c r="A62" s="29"/>
      <c r="B62" s="435"/>
      <c r="C62" s="9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</row>
    <row r="63" ht="13.5" customHeight="1">
      <c r="A63" s="29"/>
      <c r="B63" s="435"/>
      <c r="C63" s="9"/>
      <c r="D63" s="30" t="s">
        <v>279</v>
      </c>
      <c r="E63" s="40" t="s">
        <v>730</v>
      </c>
      <c r="F63" s="195">
        <f>1/6</f>
        <v>0.1666666667</v>
      </c>
      <c r="G63" s="10">
        <f>'Nhập dữ liệu'!B13*3</f>
        <v>7.8</v>
      </c>
      <c r="H63" s="17" t="s">
        <v>40</v>
      </c>
      <c r="I63" s="10"/>
      <c r="J63" s="93">
        <f>G63/6</f>
        <v>1.3</v>
      </c>
      <c r="K63" s="10" t="s">
        <v>133</v>
      </c>
      <c r="L63" s="10"/>
      <c r="M63" s="10"/>
      <c r="N63" s="10"/>
      <c r="O63" s="10"/>
      <c r="P63" s="10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</row>
    <row r="64" ht="13.5" customHeight="1">
      <c r="A64" s="29"/>
      <c r="B64" s="435"/>
      <c r="C64" s="9"/>
      <c r="D64" s="30" t="s">
        <v>279</v>
      </c>
      <c r="E64" s="10" t="s">
        <v>283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</row>
    <row r="65" ht="13.5" customHeight="1">
      <c r="A65" s="29"/>
      <c r="B65" s="435"/>
      <c r="C65" s="9"/>
      <c r="D65" s="10"/>
      <c r="E65" s="40" t="s">
        <v>731</v>
      </c>
      <c r="F65" s="10">
        <v>0.5</v>
      </c>
      <c r="G65" s="10">
        <f>'Nhập dữ liệu'!C13-'Tính Bản'!Q16/1000</f>
        <v>5.1</v>
      </c>
      <c r="H65" s="17" t="s">
        <v>40</v>
      </c>
      <c r="I65" s="10"/>
      <c r="J65" s="10">
        <f>G65/2</f>
        <v>2.55</v>
      </c>
      <c r="K65" s="10" t="s">
        <v>133</v>
      </c>
      <c r="L65" s="10"/>
      <c r="M65" s="10"/>
      <c r="N65" s="10"/>
      <c r="O65" s="10"/>
      <c r="P65" s="10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</row>
    <row r="66" ht="13.5" customHeight="1">
      <c r="A66" s="29"/>
      <c r="B66" s="435"/>
      <c r="C66" s="9"/>
      <c r="D66" s="10"/>
      <c r="E66" s="47" t="s">
        <v>732</v>
      </c>
      <c r="F66" s="198">
        <f>J63</f>
        <v>1.3</v>
      </c>
      <c r="G66" s="10" t="s">
        <v>287</v>
      </c>
      <c r="H66" s="10">
        <f>J65</f>
        <v>2.55</v>
      </c>
      <c r="I66" s="10"/>
      <c r="J66" s="10" t="s">
        <v>288</v>
      </c>
      <c r="K66" s="93">
        <f>MIN(F66,H66)</f>
        <v>1.3</v>
      </c>
      <c r="L66" s="10" t="s">
        <v>42</v>
      </c>
      <c r="M66" s="10"/>
      <c r="N66" s="10"/>
      <c r="O66" s="10"/>
      <c r="P66" s="10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</row>
    <row r="67" ht="13.5" customHeight="1">
      <c r="A67" s="29"/>
      <c r="B67" s="435"/>
      <c r="C67" s="9"/>
      <c r="D67" s="40" t="s">
        <v>733</v>
      </c>
      <c r="E67" s="10"/>
      <c r="F67" s="180">
        <f>K66*1000</f>
        <v>1300</v>
      </c>
      <c r="G67" s="10" t="s">
        <v>17</v>
      </c>
      <c r="H67" s="10"/>
      <c r="I67" s="10"/>
      <c r="J67" s="10"/>
      <c r="K67" s="10"/>
      <c r="L67" s="10"/>
      <c r="M67" s="10"/>
      <c r="N67" s="10"/>
      <c r="O67" s="10"/>
      <c r="P67" s="10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ht="13.5" customHeight="1">
      <c r="A68" s="29"/>
      <c r="B68" s="435"/>
      <c r="C68" s="9"/>
      <c r="D68" s="10" t="s">
        <v>734</v>
      </c>
      <c r="E68" s="10"/>
      <c r="F68" s="10"/>
      <c r="G68" s="10">
        <f>J43</f>
        <v>300</v>
      </c>
      <c r="H68" s="30" t="s">
        <v>89</v>
      </c>
      <c r="I68" s="18"/>
      <c r="J68" s="180">
        <f>2*K66*1000</f>
        <v>2600</v>
      </c>
      <c r="K68" s="17" t="s">
        <v>40</v>
      </c>
      <c r="L68" s="180">
        <f>G68+J68</f>
        <v>2900</v>
      </c>
      <c r="M68" s="10" t="s">
        <v>17</v>
      </c>
      <c r="N68" s="10"/>
      <c r="O68" s="10"/>
      <c r="P68" s="10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</row>
    <row r="69" ht="13.5" customHeight="1">
      <c r="A69" s="29"/>
      <c r="B69" s="435"/>
      <c r="C69" s="9"/>
      <c r="D69" s="10" t="s">
        <v>735</v>
      </c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</row>
    <row r="70" ht="13.5" customHeight="1">
      <c r="A70" s="29"/>
      <c r="B70" s="435"/>
      <c r="C70" s="9"/>
      <c r="D70" s="194" t="s">
        <v>736</v>
      </c>
      <c r="E70" s="10">
        <f>H43</f>
        <v>11.5</v>
      </c>
      <c r="F70" s="180">
        <f>L68</f>
        <v>2900</v>
      </c>
      <c r="G70" s="10">
        <f>M59</f>
        <v>90</v>
      </c>
      <c r="H70" s="10" t="s">
        <v>46</v>
      </c>
      <c r="I70" s="10"/>
      <c r="J70" s="10">
        <f>N60</f>
        <v>630</v>
      </c>
      <c r="K70" s="10" t="s">
        <v>737</v>
      </c>
      <c r="L70" s="10">
        <f>M59</f>
        <v>90</v>
      </c>
      <c r="M70" s="10" t="s">
        <v>296</v>
      </c>
      <c r="N70" s="91">
        <f>E70*F70*G70*(J70-L70/2)/1000000</f>
        <v>1755.8775</v>
      </c>
      <c r="O70" s="10" t="s">
        <v>738</v>
      </c>
      <c r="P70" s="1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</row>
    <row r="71" ht="13.5" customHeight="1">
      <c r="A71" s="29"/>
      <c r="B71" s="435"/>
      <c r="C71" s="9"/>
      <c r="D71" s="10" t="s">
        <v>739</v>
      </c>
      <c r="E71" s="10"/>
      <c r="F71" s="93">
        <f>IF('Tính dầm chính'!G3=4,'Tính dầm chính'!F96,IF('Tính dầm chính'!G3=3,'Tính dầm chính'!F76,""))</f>
        <v>380.7147371</v>
      </c>
      <c r="G71" s="10" t="s">
        <v>123</v>
      </c>
      <c r="H71" s="10" t="str">
        <f>IF(F71&lt;N70/1000000,"&lt;",IF(F71=N70/1000000,"=","&gt;"))</f>
        <v>&gt;</v>
      </c>
      <c r="I71" s="10"/>
      <c r="J71" s="194" t="s">
        <v>740</v>
      </c>
      <c r="K71" s="93">
        <f>N70</f>
        <v>1755.8775</v>
      </c>
      <c r="L71" s="10" t="s">
        <v>123</v>
      </c>
      <c r="M71" s="10"/>
      <c r="N71" s="10"/>
      <c r="O71" s="10"/>
      <c r="P71" s="10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</row>
    <row r="72" ht="13.5" customHeight="1">
      <c r="A72" s="29"/>
      <c r="B72" s="435"/>
      <c r="C72" s="9"/>
      <c r="D72" s="17" t="s">
        <v>300</v>
      </c>
      <c r="E72" s="10"/>
      <c r="F72" s="10" t="str">
        <f>IF(H71="&lt;","đi qua cánh.","điquasườn.")</f>
        <v>điquasườn.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</row>
    <row r="73" ht="13.5" customHeight="1">
      <c r="A73" s="29"/>
      <c r="B73" s="435"/>
      <c r="C73" s="9"/>
      <c r="D73" s="10" t="s">
        <v>741</v>
      </c>
      <c r="E73" s="10"/>
      <c r="F73" s="10"/>
      <c r="G73" s="10"/>
      <c r="H73" s="180">
        <f>L68</f>
        <v>2900</v>
      </c>
      <c r="I73" s="180"/>
      <c r="J73" s="10" t="s">
        <v>302</v>
      </c>
      <c r="K73" s="10">
        <f>J60</f>
        <v>700</v>
      </c>
      <c r="L73" s="10" t="s">
        <v>303</v>
      </c>
      <c r="M73" s="10">
        <f>F60</f>
        <v>40</v>
      </c>
      <c r="N73" s="40" t="s">
        <v>742</v>
      </c>
      <c r="O73" s="10">
        <f>N60</f>
        <v>630</v>
      </c>
      <c r="P73" s="10" t="s">
        <v>17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</row>
    <row r="74" ht="13.5" customHeight="1">
      <c r="A74" s="29"/>
      <c r="B74" s="435"/>
      <c r="C74" s="9" t="s">
        <v>305</v>
      </c>
      <c r="D74" s="10"/>
      <c r="E74" s="10"/>
      <c r="F74" s="201" t="s">
        <v>743</v>
      </c>
      <c r="G74" s="196">
        <f>F71</f>
        <v>380.7147371</v>
      </c>
      <c r="H74" s="9" t="s">
        <v>307</v>
      </c>
      <c r="I74" s="9"/>
      <c r="J74" s="10"/>
      <c r="K74" s="10"/>
      <c r="L74" s="10"/>
      <c r="M74" s="10"/>
      <c r="N74" s="10"/>
      <c r="O74" s="10"/>
      <c r="P74" s="10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</row>
    <row r="75" ht="13.5" customHeight="1">
      <c r="A75" s="29"/>
      <c r="B75" s="435"/>
      <c r="C75" s="9"/>
      <c r="D75" s="203"/>
      <c r="E75" s="204"/>
      <c r="F75" s="204"/>
      <c r="G75" s="204"/>
      <c r="H75" s="205">
        <f>G74</f>
        <v>380.7147371</v>
      </c>
      <c r="I75" s="205"/>
      <c r="J75" s="206" t="s">
        <v>84</v>
      </c>
      <c r="K75" s="207">
        <v>1000000.0</v>
      </c>
      <c r="L75" s="204"/>
      <c r="M75" s="204"/>
      <c r="N75" s="204"/>
      <c r="O75" s="204"/>
      <c r="P75" s="204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</row>
    <row r="76" ht="13.5" customHeight="1">
      <c r="A76" s="29"/>
      <c r="B76" s="435"/>
      <c r="C76" s="9"/>
      <c r="D76" s="204"/>
      <c r="E76" s="204"/>
      <c r="F76" s="204"/>
      <c r="G76" s="207" t="s">
        <v>309</v>
      </c>
      <c r="M76" s="209">
        <f>H75*K75/(G77*H77*J77*J77)</f>
        <v>0.028762243</v>
      </c>
      <c r="N76" s="207" t="s">
        <v>310</v>
      </c>
      <c r="O76" s="204"/>
      <c r="P76" s="204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</row>
    <row r="77" ht="13.5" customHeight="1">
      <c r="A77" s="29"/>
      <c r="B77" s="435"/>
      <c r="C77" s="9"/>
      <c r="D77" s="204"/>
      <c r="E77" s="204"/>
      <c r="F77" s="204"/>
      <c r="G77" s="210">
        <f>E29</f>
        <v>11.5</v>
      </c>
      <c r="H77" s="211">
        <f>H73</f>
        <v>2900</v>
      </c>
      <c r="I77" s="211"/>
      <c r="J77" s="212">
        <f>O73</f>
        <v>630</v>
      </c>
      <c r="K77" s="213">
        <v>2.0</v>
      </c>
      <c r="L77" s="204"/>
      <c r="M77" s="204"/>
      <c r="N77" s="204"/>
      <c r="O77" s="204"/>
      <c r="P77" s="204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</row>
    <row r="78" ht="13.5" customHeight="1">
      <c r="A78" s="29"/>
      <c r="B78" s="435"/>
      <c r="C78" s="9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</row>
    <row r="79" ht="13.5" customHeight="1">
      <c r="A79" s="29"/>
      <c r="B79" s="435"/>
      <c r="C79" s="9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</row>
    <row r="80" ht="13.5" customHeight="1">
      <c r="A80" s="29"/>
      <c r="B80" s="435"/>
      <c r="C80" s="9"/>
      <c r="D80" s="204"/>
      <c r="E80" s="204"/>
      <c r="F80" s="204"/>
      <c r="G80" s="204"/>
      <c r="H80" s="204"/>
      <c r="I80" s="204"/>
      <c r="J80" s="214">
        <f>M76</f>
        <v>0.028762243</v>
      </c>
      <c r="K80" s="207" t="s">
        <v>40</v>
      </c>
      <c r="L80" s="209">
        <f>0.5*(1+SQRT(1-2*J80))</f>
        <v>0.9854058905</v>
      </c>
      <c r="M80" s="204"/>
      <c r="N80" s="204"/>
      <c r="O80" s="204"/>
      <c r="P80" s="204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</row>
    <row r="81" ht="13.5" customHeight="1">
      <c r="A81" s="29"/>
      <c r="B81" s="435"/>
      <c r="C81" s="9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</row>
    <row r="82" ht="13.5" customHeight="1">
      <c r="A82" s="29"/>
      <c r="B82" s="435"/>
      <c r="C82" s="9"/>
      <c r="D82" s="204"/>
      <c r="E82" s="207"/>
      <c r="G82" s="209">
        <f>G74</f>
        <v>380.7147371</v>
      </c>
      <c r="H82" s="206" t="s">
        <v>84</v>
      </c>
      <c r="I82" s="206"/>
      <c r="J82" s="207">
        <v>1000000.0</v>
      </c>
      <c r="K82" s="204"/>
      <c r="L82" s="204"/>
      <c r="M82" s="204"/>
      <c r="N82" s="204"/>
      <c r="O82" s="204"/>
      <c r="P82" s="204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</row>
    <row r="83" ht="13.5" customHeight="1">
      <c r="A83" s="29"/>
      <c r="B83" s="435"/>
      <c r="C83" s="9"/>
      <c r="D83" s="204"/>
      <c r="G83" s="217" t="s">
        <v>313</v>
      </c>
      <c r="K83" s="218">
        <f>G82*J82/(G84*H84*J84)</f>
        <v>2358.688756</v>
      </c>
      <c r="L83" s="219" t="s">
        <v>744</v>
      </c>
      <c r="M83" s="204"/>
      <c r="N83" s="204"/>
      <c r="O83" s="204"/>
      <c r="P83" s="204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</row>
    <row r="84" ht="13.5" customHeight="1">
      <c r="A84" s="29"/>
      <c r="B84" s="435"/>
      <c r="C84" s="9"/>
      <c r="D84" s="204"/>
      <c r="G84" s="210">
        <f>E30</f>
        <v>260</v>
      </c>
      <c r="H84" s="205">
        <f>L80</f>
        <v>0.9854058905</v>
      </c>
      <c r="I84" s="205"/>
      <c r="J84" s="210">
        <f>O73</f>
        <v>630</v>
      </c>
      <c r="K84" s="204"/>
      <c r="L84" s="204"/>
      <c r="M84" s="204"/>
      <c r="N84" s="204"/>
      <c r="O84" s="204"/>
      <c r="P84" s="20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</row>
    <row r="85" ht="13.5" customHeight="1">
      <c r="A85" s="29"/>
      <c r="B85" s="435"/>
      <c r="C85" s="9"/>
      <c r="D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</row>
    <row r="86" ht="13.5" customHeight="1">
      <c r="A86" s="29"/>
      <c r="B86" s="435"/>
      <c r="C86" s="9"/>
      <c r="D86" s="204"/>
      <c r="E86" s="207"/>
      <c r="H86" s="204"/>
      <c r="I86" s="204"/>
      <c r="J86" s="211">
        <f>K83</f>
        <v>2358.688756</v>
      </c>
      <c r="K86" s="204"/>
      <c r="L86" s="204"/>
      <c r="M86" s="204"/>
      <c r="N86" s="204"/>
      <c r="O86" s="204"/>
      <c r="P86" s="204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</row>
    <row r="87" ht="13.5" customHeight="1">
      <c r="A87" s="29"/>
      <c r="B87" s="435"/>
      <c r="C87" s="9"/>
      <c r="D87" s="204"/>
      <c r="H87" s="217" t="s">
        <v>315</v>
      </c>
      <c r="M87" s="207" t="s">
        <v>40</v>
      </c>
      <c r="N87" s="220">
        <f>J86/(H88*K88)</f>
        <v>0.01247983469</v>
      </c>
      <c r="O87" s="204"/>
      <c r="P87" s="204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</row>
    <row r="88" ht="13.5" customHeight="1">
      <c r="A88" s="29"/>
      <c r="B88" s="435"/>
      <c r="C88" s="9"/>
      <c r="D88" s="204"/>
      <c r="H88" s="210">
        <f>J54</f>
        <v>300</v>
      </c>
      <c r="I88" s="210"/>
      <c r="J88" s="210" t="s">
        <v>84</v>
      </c>
      <c r="K88" s="207">
        <f>O73</f>
        <v>630</v>
      </c>
      <c r="L88" s="204"/>
      <c r="M88" s="204"/>
      <c r="N88" s="204"/>
      <c r="O88" s="204"/>
      <c r="P88" s="204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</row>
    <row r="89" ht="13.5" customHeight="1">
      <c r="A89" s="29"/>
      <c r="B89" s="435"/>
      <c r="C89" s="9"/>
      <c r="D89" s="435" t="s">
        <v>745</v>
      </c>
      <c r="E89" s="439"/>
      <c r="F89" s="448">
        <f>IF('Tính dầm chính'!G3=4,'Tính dầm chính'!J96,IF('Tính dầm chính'!G3=3,'Tính dầm chính'!J76,""))</f>
        <v>246.9455193</v>
      </c>
      <c r="G89" s="438" t="s">
        <v>123</v>
      </c>
      <c r="H89" s="438"/>
      <c r="I89" s="438"/>
      <c r="J89" s="438"/>
      <c r="K89" s="439"/>
      <c r="L89" s="435"/>
      <c r="M89" s="435"/>
      <c r="N89" s="435"/>
      <c r="O89" s="435"/>
      <c r="P89" s="10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</row>
    <row r="90" ht="13.5" customHeight="1">
      <c r="A90" s="29"/>
      <c r="B90" s="435"/>
      <c r="C90" s="435"/>
      <c r="D90" s="435"/>
      <c r="E90" s="439"/>
      <c r="F90" s="366" t="s">
        <v>746</v>
      </c>
      <c r="G90" s="209">
        <f>F89*K75/(G77*H77*J77*J77)</f>
        <v>0.01865624401</v>
      </c>
      <c r="H90" s="450" t="s">
        <v>722</v>
      </c>
      <c r="I90" s="450"/>
      <c r="J90" s="93">
        <f>0.5*(1+SQRT(1-2*G90))</f>
        <v>0.9905832019</v>
      </c>
      <c r="K90" s="47" t="s">
        <v>723</v>
      </c>
      <c r="L90" s="218">
        <f>F89*J82/(G84*J90*J84)</f>
        <v>1521.935664</v>
      </c>
      <c r="M90" s="10" t="s">
        <v>724</v>
      </c>
      <c r="N90" s="366" t="s">
        <v>725</v>
      </c>
      <c r="O90" s="220">
        <f>L90/(H88*K88)</f>
        <v>0.008052569649</v>
      </c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</row>
    <row r="91" ht="13.5" customHeight="1">
      <c r="A91" s="29"/>
      <c r="B91" s="435"/>
      <c r="C91" s="435"/>
      <c r="D91" s="435"/>
      <c r="E91" s="435"/>
      <c r="F91" s="435"/>
      <c r="G91" s="435"/>
      <c r="H91" s="435"/>
      <c r="I91" s="435"/>
      <c r="J91" s="435"/>
      <c r="K91" s="435"/>
      <c r="L91" s="435"/>
      <c r="M91" s="435"/>
      <c r="N91" s="435"/>
      <c r="O91" s="435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</row>
    <row r="92" ht="13.5" customHeight="1">
      <c r="A92" s="29"/>
      <c r="B92" s="435"/>
      <c r="C92" s="451"/>
      <c r="D92" s="276" t="s">
        <v>331</v>
      </c>
      <c r="E92" s="7" t="s">
        <v>332</v>
      </c>
      <c r="F92" s="7" t="s">
        <v>333</v>
      </c>
      <c r="G92" s="240" t="s">
        <v>747</v>
      </c>
      <c r="H92" s="240" t="s">
        <v>335</v>
      </c>
      <c r="I92" s="240"/>
      <c r="J92" s="240" t="s">
        <v>748</v>
      </c>
      <c r="K92" s="240" t="s">
        <v>749</v>
      </c>
      <c r="L92" s="451"/>
      <c r="M92" s="451"/>
      <c r="N92" s="451"/>
      <c r="O92" s="451"/>
      <c r="P92" s="277"/>
      <c r="Q92" s="277"/>
      <c r="R92" s="277"/>
      <c r="S92" s="277"/>
      <c r="T92" s="277"/>
      <c r="U92" s="277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</row>
    <row r="93" ht="13.5" customHeight="1">
      <c r="A93" s="29"/>
      <c r="B93" s="435"/>
      <c r="C93" s="451"/>
      <c r="D93" s="240" t="s">
        <v>750</v>
      </c>
      <c r="E93" s="240" t="s">
        <v>751</v>
      </c>
      <c r="F93" s="71">
        <f>K83</f>
        <v>2358.688756</v>
      </c>
      <c r="G93" s="71">
        <f>L49</f>
        <v>2928.670718</v>
      </c>
      <c r="H93" s="71">
        <f>L90</f>
        <v>1521.935664</v>
      </c>
      <c r="I93" s="71"/>
      <c r="J93" s="71">
        <f>L56</f>
        <v>2133.83532</v>
      </c>
      <c r="K93" s="71" t="str">
        <f>IF(#REF!&gt;4,K88,"")</f>
        <v>#REF!</v>
      </c>
      <c r="L93" s="451"/>
      <c r="M93" s="451"/>
      <c r="N93" s="451"/>
      <c r="O93" s="451"/>
      <c r="P93" s="277"/>
      <c r="Q93" s="277"/>
      <c r="R93" s="277"/>
      <c r="S93" s="277"/>
      <c r="T93" s="277"/>
      <c r="U93" s="277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</row>
    <row r="94" ht="13.5" customHeight="1">
      <c r="A94" s="29"/>
      <c r="B94" s="435"/>
      <c r="C94" s="451"/>
      <c r="D94" s="7" t="s">
        <v>341</v>
      </c>
      <c r="E94" s="7"/>
      <c r="F94" s="286" t="s">
        <v>752</v>
      </c>
      <c r="G94" s="286" t="s">
        <v>753</v>
      </c>
      <c r="H94" s="286" t="s">
        <v>754</v>
      </c>
      <c r="I94" s="286"/>
      <c r="J94" s="286" t="s">
        <v>755</v>
      </c>
      <c r="K94" s="286"/>
      <c r="L94" s="451"/>
      <c r="M94" s="451"/>
      <c r="N94" s="451"/>
      <c r="O94" s="451"/>
      <c r="P94" s="277"/>
      <c r="Q94" s="277"/>
      <c r="R94" s="277"/>
      <c r="S94" s="277"/>
      <c r="T94" s="277"/>
      <c r="U94" s="277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</row>
    <row r="95" ht="13.5" customHeight="1">
      <c r="A95" s="29"/>
      <c r="B95" s="435"/>
      <c r="C95" s="451"/>
      <c r="D95" s="7" t="s">
        <v>343</v>
      </c>
      <c r="E95" s="240" t="s">
        <v>756</v>
      </c>
      <c r="F95" s="240">
        <v>2213.0</v>
      </c>
      <c r="G95" s="240">
        <v>3195.0</v>
      </c>
      <c r="H95" s="240">
        <v>603.0</v>
      </c>
      <c r="I95" s="240"/>
      <c r="J95" s="240">
        <v>657.0</v>
      </c>
      <c r="K95" s="240"/>
      <c r="L95" s="451"/>
      <c r="M95" s="451"/>
      <c r="N95" s="451"/>
      <c r="O95" s="451"/>
      <c r="P95" s="277"/>
      <c r="Q95" s="277"/>
      <c r="R95" s="277"/>
      <c r="S95" s="277"/>
      <c r="T95" s="277"/>
      <c r="U95" s="277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</row>
    <row r="96" ht="13.5" customHeight="1">
      <c r="A96" s="29"/>
      <c r="B96" s="435"/>
      <c r="C96" s="451"/>
      <c r="D96" s="451"/>
      <c r="E96" s="451"/>
      <c r="F96" s="451"/>
      <c r="G96" s="451"/>
      <c r="H96" s="451"/>
      <c r="I96" s="451"/>
      <c r="J96" s="451"/>
      <c r="K96" s="451"/>
      <c r="L96" s="451"/>
      <c r="M96" s="451"/>
      <c r="N96" s="451"/>
      <c r="O96" s="451"/>
      <c r="P96" s="277"/>
      <c r="Q96" s="277"/>
      <c r="R96" s="277"/>
      <c r="S96" s="277"/>
      <c r="T96" s="277"/>
      <c r="U96" s="277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</row>
    <row r="97" ht="13.5" customHeight="1">
      <c r="A97" s="29"/>
      <c r="B97" s="435"/>
      <c r="C97" s="452" t="s">
        <v>757</v>
      </c>
      <c r="D97" s="451"/>
      <c r="E97" s="451"/>
      <c r="F97" s="451"/>
      <c r="G97" s="451"/>
      <c r="H97" s="451"/>
      <c r="I97" s="451"/>
      <c r="J97" s="451"/>
      <c r="K97" s="451"/>
      <c r="L97" s="451"/>
      <c r="M97" s="451"/>
      <c r="N97" s="451"/>
      <c r="O97" s="451"/>
      <c r="P97" s="277"/>
      <c r="Q97" s="277"/>
      <c r="R97" s="277"/>
      <c r="S97" s="277"/>
      <c r="T97" s="277"/>
      <c r="U97" s="277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</row>
    <row r="98" ht="13.5" customHeight="1">
      <c r="A98" s="29"/>
      <c r="B98" s="435"/>
      <c r="C98" s="451"/>
      <c r="D98" s="451"/>
      <c r="E98" s="451" t="s">
        <v>758</v>
      </c>
      <c r="F98" s="451"/>
      <c r="G98" s="451"/>
      <c r="H98" s="451"/>
      <c r="I98" s="451"/>
      <c r="J98" s="451"/>
      <c r="K98" s="451"/>
      <c r="L98" s="451"/>
      <c r="M98" s="451"/>
      <c r="N98" s="451"/>
      <c r="O98" s="451"/>
      <c r="P98" s="277"/>
      <c r="Q98" s="277"/>
      <c r="R98" s="277"/>
      <c r="S98" s="277"/>
      <c r="T98" s="277"/>
      <c r="U98" s="277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</row>
    <row r="99" ht="13.5" customHeight="1">
      <c r="A99" s="29"/>
      <c r="B99" s="435"/>
      <c r="C99" s="451"/>
      <c r="D99" s="451" t="s">
        <v>727</v>
      </c>
      <c r="E99" s="451">
        <v>30.0</v>
      </c>
      <c r="F99" s="453" t="s">
        <v>89</v>
      </c>
      <c r="G99" s="453" t="s">
        <v>759</v>
      </c>
      <c r="H99" s="453">
        <v>25.0</v>
      </c>
      <c r="I99" s="453"/>
      <c r="J99" s="451" t="s">
        <v>40</v>
      </c>
      <c r="K99" s="451">
        <f>E99+H99/2</f>
        <v>42.5</v>
      </c>
      <c r="L99" s="453" t="s">
        <v>760</v>
      </c>
      <c r="M99" s="451" t="s">
        <v>40</v>
      </c>
      <c r="N99" s="451">
        <f>G36-K99</f>
        <v>657.5</v>
      </c>
      <c r="O99" s="451" t="s">
        <v>21</v>
      </c>
      <c r="P99" s="454" t="s">
        <v>761</v>
      </c>
      <c r="Q99" s="451" t="s">
        <v>762</v>
      </c>
      <c r="R99" s="277"/>
      <c r="S99" s="277"/>
      <c r="T99" s="277"/>
      <c r="U99" s="277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</row>
    <row r="100" ht="13.5" customHeight="1">
      <c r="A100" s="29"/>
      <c r="B100" s="435"/>
      <c r="C100" s="451"/>
      <c r="D100" s="451"/>
      <c r="E100" s="451" t="s">
        <v>763</v>
      </c>
      <c r="F100" s="451"/>
      <c r="G100" s="451"/>
      <c r="H100" s="451"/>
      <c r="I100" s="451"/>
      <c r="J100" s="451"/>
      <c r="K100" s="451"/>
      <c r="L100" s="451"/>
      <c r="M100" s="451"/>
      <c r="N100" s="451"/>
      <c r="O100" s="451"/>
      <c r="P100" s="277"/>
      <c r="Q100" s="277"/>
      <c r="R100" s="277"/>
      <c r="S100" s="277"/>
      <c r="T100" s="277"/>
      <c r="U100" s="277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</row>
    <row r="101" ht="13.5" customHeight="1">
      <c r="A101" s="29"/>
      <c r="B101" s="435"/>
      <c r="C101" s="451"/>
      <c r="D101" s="451"/>
      <c r="E101" s="451"/>
      <c r="F101" s="451" t="s">
        <v>764</v>
      </c>
      <c r="G101" s="451"/>
      <c r="H101" s="451"/>
      <c r="I101" s="451"/>
      <c r="J101" s="451"/>
      <c r="K101" s="451"/>
      <c r="L101" s="451"/>
      <c r="M101" s="451"/>
      <c r="N101" s="451"/>
      <c r="O101" s="451"/>
      <c r="P101" s="277"/>
      <c r="Q101" s="277"/>
      <c r="R101" s="277"/>
      <c r="S101" s="277"/>
      <c r="T101" s="277"/>
      <c r="U101" s="277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</row>
    <row r="102" ht="13.5" customHeight="1">
      <c r="A102" s="29"/>
      <c r="B102" s="435"/>
      <c r="C102" s="451"/>
      <c r="D102" s="451"/>
      <c r="E102" s="451"/>
      <c r="F102" s="451"/>
      <c r="G102" s="453" t="s">
        <v>727</v>
      </c>
      <c r="H102" s="453">
        <f>'Tính dầm phụ'!F92</f>
        <v>30</v>
      </c>
      <c r="I102" s="453"/>
      <c r="J102" s="453" t="s">
        <v>89</v>
      </c>
      <c r="K102" s="453">
        <f>MAX('Tính dầm phụ'!G151,'Tính dầm phụ'!I151)</f>
        <v>16</v>
      </c>
      <c r="L102" s="453" t="s">
        <v>89</v>
      </c>
      <c r="M102" s="451">
        <v>28.0</v>
      </c>
      <c r="N102" s="453" t="s">
        <v>765</v>
      </c>
      <c r="O102" s="451" t="s">
        <v>40</v>
      </c>
      <c r="P102" s="455">
        <f>H102+K102+0.5*M102</f>
        <v>60</v>
      </c>
      <c r="Q102" s="455" t="s">
        <v>21</v>
      </c>
      <c r="R102" s="455" t="s">
        <v>760</v>
      </c>
      <c r="S102" s="455" t="s">
        <v>40</v>
      </c>
      <c r="T102" s="455">
        <f>G36-P102</f>
        <v>640</v>
      </c>
      <c r="U102" s="455" t="s">
        <v>21</v>
      </c>
      <c r="V102" s="456"/>
      <c r="W102" s="435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</row>
    <row r="103" ht="13.5" customHeight="1">
      <c r="A103" s="29"/>
      <c r="B103" s="435"/>
      <c r="C103" s="451"/>
      <c r="D103" s="451"/>
      <c r="E103" s="451"/>
      <c r="F103" s="451"/>
      <c r="G103" s="451"/>
      <c r="H103" s="451" t="s">
        <v>766</v>
      </c>
      <c r="I103" s="451"/>
      <c r="J103" s="454" t="s">
        <v>761</v>
      </c>
      <c r="K103" s="451" t="s">
        <v>762</v>
      </c>
      <c r="L103" s="277"/>
      <c r="M103" s="277"/>
      <c r="N103" s="277"/>
      <c r="O103" s="451"/>
      <c r="P103" s="277"/>
      <c r="Q103" s="277"/>
      <c r="R103" s="277"/>
      <c r="S103" s="277"/>
      <c r="T103" s="277"/>
      <c r="U103" s="277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</row>
    <row r="104" ht="13.5" customHeight="1">
      <c r="A104" s="29"/>
      <c r="B104" s="435"/>
      <c r="C104" s="451"/>
      <c r="D104" s="451"/>
      <c r="E104" s="451"/>
      <c r="F104" s="451" t="s">
        <v>767</v>
      </c>
      <c r="G104" s="451"/>
      <c r="H104" s="451"/>
      <c r="I104" s="451"/>
      <c r="J104" s="451"/>
      <c r="K104" s="451"/>
      <c r="L104" s="451"/>
      <c r="M104" s="451"/>
      <c r="N104" s="451"/>
      <c r="O104" s="451"/>
      <c r="P104" s="277"/>
      <c r="Q104" s="277"/>
      <c r="R104" s="277"/>
      <c r="S104" s="277"/>
      <c r="T104" s="277"/>
      <c r="U104" s="277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</row>
    <row r="105" ht="13.5" customHeight="1">
      <c r="A105" s="29"/>
      <c r="B105" s="435"/>
      <c r="C105" s="451"/>
      <c r="D105" s="451"/>
      <c r="E105" s="451"/>
      <c r="F105" s="277"/>
      <c r="G105" s="277"/>
      <c r="H105" s="277"/>
      <c r="I105" s="277"/>
      <c r="J105" s="277"/>
      <c r="K105" s="277"/>
      <c r="L105" s="277"/>
      <c r="M105" s="277"/>
      <c r="N105" s="277"/>
      <c r="O105" s="277" t="s">
        <v>768</v>
      </c>
      <c r="P105" s="277"/>
      <c r="Q105" s="277"/>
      <c r="R105" s="277"/>
      <c r="S105" s="277"/>
      <c r="T105" s="277"/>
      <c r="U105" s="277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</row>
    <row r="106" ht="13.5" customHeight="1">
      <c r="A106" s="29"/>
      <c r="B106" s="435"/>
      <c r="C106" s="451"/>
      <c r="D106" s="451"/>
      <c r="E106" s="451"/>
      <c r="F106" s="455" t="s">
        <v>769</v>
      </c>
      <c r="G106" s="455"/>
      <c r="H106" s="282">
        <v>28.0</v>
      </c>
      <c r="I106" s="282"/>
      <c r="J106" s="455"/>
      <c r="K106" s="455" t="s">
        <v>770</v>
      </c>
      <c r="L106" s="455"/>
      <c r="M106" s="282">
        <v>25.0</v>
      </c>
      <c r="N106" s="455"/>
      <c r="O106" s="277">
        <f>MAX(H106,M106,H107)</f>
        <v>28</v>
      </c>
      <c r="P106" s="277"/>
      <c r="Q106" s="277"/>
      <c r="R106" s="277"/>
      <c r="S106" s="277"/>
      <c r="T106" s="277"/>
      <c r="U106" s="277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</row>
    <row r="107" ht="13.5" customHeight="1">
      <c r="A107" s="29"/>
      <c r="B107" s="435"/>
      <c r="C107" s="451"/>
      <c r="D107" s="451"/>
      <c r="E107" s="451"/>
      <c r="F107" s="455" t="s">
        <v>771</v>
      </c>
      <c r="G107" s="455"/>
      <c r="H107" s="282">
        <v>25.0</v>
      </c>
      <c r="I107" s="282"/>
      <c r="J107" s="455"/>
      <c r="K107" s="455"/>
      <c r="L107" s="455"/>
      <c r="M107" s="455"/>
      <c r="N107" s="455"/>
      <c r="O107" s="277"/>
      <c r="P107" s="277"/>
      <c r="Q107" s="277"/>
      <c r="R107" s="277"/>
      <c r="S107" s="277"/>
      <c r="T107" s="277"/>
      <c r="U107" s="277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</row>
    <row r="108" ht="13.5" customHeight="1">
      <c r="A108" s="29"/>
      <c r="B108" s="435"/>
      <c r="C108" s="451"/>
      <c r="D108" s="451"/>
      <c r="E108" s="451"/>
      <c r="F108" s="451"/>
      <c r="G108" s="455" t="s">
        <v>772</v>
      </c>
      <c r="H108" s="455" t="s">
        <v>40</v>
      </c>
      <c r="I108" s="455"/>
      <c r="J108" s="455">
        <f>2*(3.14/4)*(H106*H106+H107*H107)</f>
        <v>2212.13</v>
      </c>
      <c r="K108" s="455"/>
      <c r="L108" s="455" t="s">
        <v>773</v>
      </c>
      <c r="M108" s="455" t="s">
        <v>40</v>
      </c>
      <c r="N108" s="455">
        <f>2*3.14*M106*M106/4</f>
        <v>981.25</v>
      </c>
      <c r="O108" s="451"/>
      <c r="P108" s="277"/>
      <c r="Q108" s="277"/>
      <c r="R108" s="277"/>
      <c r="S108" s="277"/>
      <c r="T108" s="277"/>
      <c r="U108" s="277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</row>
    <row r="109" ht="13.5" customHeight="1">
      <c r="A109" s="29"/>
      <c r="B109" s="435"/>
      <c r="C109" s="451"/>
      <c r="D109" s="451"/>
      <c r="E109" s="451"/>
      <c r="F109" s="451"/>
      <c r="G109" s="455" t="s">
        <v>774</v>
      </c>
      <c r="H109" s="455" t="s">
        <v>40</v>
      </c>
      <c r="I109" s="455"/>
      <c r="J109" s="455">
        <f>H102+K102+0.5*O106</f>
        <v>60</v>
      </c>
      <c r="K109" s="455"/>
      <c r="L109" s="455" t="s">
        <v>775</v>
      </c>
      <c r="M109" s="455" t="s">
        <v>40</v>
      </c>
      <c r="N109" s="455">
        <f>J109+O106/2+O106+M106/2</f>
        <v>114.5</v>
      </c>
      <c r="O109" s="451"/>
      <c r="P109" s="277"/>
      <c r="Q109" s="277"/>
      <c r="R109" s="277"/>
      <c r="S109" s="277"/>
      <c r="T109" s="277"/>
      <c r="U109" s="277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</row>
    <row r="110" ht="13.5" customHeight="1">
      <c r="A110" s="29"/>
      <c r="B110" s="435"/>
      <c r="C110" s="451"/>
      <c r="D110" s="451"/>
      <c r="E110" s="451"/>
      <c r="F110" s="451"/>
      <c r="G110" s="455"/>
      <c r="H110" s="455"/>
      <c r="I110" s="455"/>
      <c r="J110" s="455"/>
      <c r="K110" s="455"/>
      <c r="L110" s="455"/>
      <c r="M110" s="455"/>
      <c r="N110" s="455"/>
      <c r="O110" s="451"/>
      <c r="P110" s="277"/>
      <c r="Q110" s="277"/>
      <c r="R110" s="277"/>
      <c r="S110" s="277"/>
      <c r="T110" s="277"/>
      <c r="U110" s="277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</row>
    <row r="111" ht="13.5" customHeight="1">
      <c r="A111" s="29"/>
      <c r="B111" s="435"/>
      <c r="C111" s="451"/>
      <c r="D111" s="451"/>
      <c r="E111" s="451"/>
      <c r="F111" s="451"/>
      <c r="G111" s="455"/>
      <c r="H111" s="455" t="s">
        <v>496</v>
      </c>
      <c r="I111" s="455"/>
      <c r="J111" s="455" t="s">
        <v>40</v>
      </c>
      <c r="K111" s="455">
        <f>(J108*J109+N108*N109)/(J108+N108)</f>
        <v>76.74655851</v>
      </c>
      <c r="L111" s="455" t="s">
        <v>760</v>
      </c>
      <c r="M111" s="457" t="s">
        <v>40</v>
      </c>
      <c r="N111" s="455">
        <f>G36-K111</f>
        <v>623.2534415</v>
      </c>
      <c r="O111" s="451" t="s">
        <v>21</v>
      </c>
      <c r="P111" s="454" t="s">
        <v>761</v>
      </c>
      <c r="Q111" s="451" t="s">
        <v>762</v>
      </c>
      <c r="R111" s="277"/>
      <c r="S111" s="277"/>
      <c r="T111" s="277"/>
      <c r="U111" s="277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</row>
    <row r="112" ht="13.5" customHeight="1">
      <c r="A112" s="29"/>
      <c r="B112" s="435"/>
      <c r="C112" s="268" t="s">
        <v>776</v>
      </c>
      <c r="D112" s="26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277"/>
      <c r="U112" s="277"/>
      <c r="V112" s="277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</row>
    <row r="113" ht="13.5" customHeight="1">
      <c r="A113" s="29"/>
      <c r="B113" s="435"/>
      <c r="C113" s="268"/>
      <c r="D113" s="7" t="s">
        <v>355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277"/>
      <c r="U113" s="277"/>
      <c r="V113" s="277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</row>
    <row r="114" ht="13.5" customHeight="1">
      <c r="A114" s="29"/>
      <c r="B114" s="435"/>
      <c r="C114" s="268"/>
      <c r="D114" s="26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277"/>
      <c r="U114" s="277"/>
      <c r="V114" s="277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</row>
    <row r="115" ht="13.5" customHeight="1">
      <c r="A115" s="29"/>
      <c r="B115" s="435"/>
      <c r="C115" s="268" t="s">
        <v>777</v>
      </c>
      <c r="D115" s="268"/>
      <c r="E115" s="277"/>
      <c r="F115" s="7"/>
      <c r="G115" s="458">
        <f>ABS(IF('Tính dầm chính'!G3=4,G22,IF('Tính dầm chính'!G3=3,R22,"")))</f>
        <v>241.213069</v>
      </c>
      <c r="H115" s="7" t="s">
        <v>356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277"/>
      <c r="U115" s="277"/>
      <c r="V115" s="277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</row>
    <row r="116" ht="13.5" customHeight="1">
      <c r="A116" s="29"/>
      <c r="B116" s="435"/>
      <c r="C116" s="268"/>
      <c r="D116" s="26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277"/>
      <c r="U116" s="277"/>
      <c r="V116" s="277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</row>
    <row r="117" ht="13.5" customHeight="1">
      <c r="A117" s="29"/>
      <c r="B117" s="435"/>
      <c r="C117" s="268"/>
      <c r="D117" s="268"/>
      <c r="E117" s="459" t="s">
        <v>778</v>
      </c>
      <c r="F117" s="7"/>
      <c r="G117" s="7"/>
      <c r="H117" s="240">
        <f>'Nhập Rs thep CV240,300,400 '!E52</f>
        <v>11.5</v>
      </c>
      <c r="I117" s="240"/>
      <c r="J117" s="240" t="s">
        <v>779</v>
      </c>
      <c r="K117" s="7">
        <f>'Nhập Rs thep CV240,300,400 '!H52</f>
        <v>0.9</v>
      </c>
      <c r="L117" s="240" t="s">
        <v>780</v>
      </c>
      <c r="M117" s="7">
        <f>'Nhập Rs thep CV240,300,400 '!P53</f>
        <v>170</v>
      </c>
      <c r="N117" s="7" t="s">
        <v>361</v>
      </c>
      <c r="O117" s="7"/>
      <c r="P117" s="7"/>
      <c r="Q117" s="7"/>
      <c r="R117" s="7"/>
      <c r="S117" s="7"/>
      <c r="T117" s="277"/>
      <c r="U117" s="277"/>
      <c r="V117" s="277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</row>
    <row r="118" ht="13.5" customHeight="1">
      <c r="A118" s="29"/>
      <c r="B118" s="435"/>
      <c r="C118" s="268"/>
      <c r="D118" s="268"/>
      <c r="E118" s="7" t="s">
        <v>781</v>
      </c>
      <c r="F118" s="7"/>
      <c r="G118" s="240">
        <f>'Tính Bản'!Q16</f>
        <v>300</v>
      </c>
      <c r="H118" s="7" t="s">
        <v>782</v>
      </c>
      <c r="I118" s="7"/>
      <c r="J118" s="240">
        <f>'Tính Bản'!N16</f>
        <v>700</v>
      </c>
      <c r="K118" s="460" t="s">
        <v>783</v>
      </c>
      <c r="L118" s="240">
        <f>N99</f>
        <v>657.5</v>
      </c>
      <c r="M118" s="7" t="s">
        <v>17</v>
      </c>
      <c r="N118" s="7"/>
      <c r="O118" s="7"/>
      <c r="P118" s="7"/>
      <c r="Q118" s="7"/>
      <c r="R118" s="7"/>
      <c r="S118" s="7"/>
      <c r="T118" s="277"/>
      <c r="U118" s="277"/>
      <c r="V118" s="277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</row>
    <row r="119" ht="13.5" customHeight="1">
      <c r="A119" s="29"/>
      <c r="B119" s="435"/>
      <c r="C119" s="268"/>
      <c r="D119" s="268"/>
      <c r="E119" s="7" t="s">
        <v>784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277"/>
      <c r="U119" s="277"/>
      <c r="V119" s="277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</row>
    <row r="120" ht="13.5" customHeight="1">
      <c r="A120" s="29"/>
      <c r="B120" s="435"/>
      <c r="C120" s="268"/>
      <c r="D120" s="268"/>
      <c r="E120" s="272" t="s">
        <v>785</v>
      </c>
      <c r="F120" s="7"/>
      <c r="G120" s="240">
        <f>H117</f>
        <v>11.5</v>
      </c>
      <c r="H120" s="240">
        <f>G118</f>
        <v>300</v>
      </c>
      <c r="I120" s="240"/>
      <c r="J120" s="240">
        <f>L118</f>
        <v>657.5</v>
      </c>
      <c r="K120" s="354" t="s">
        <v>40</v>
      </c>
      <c r="L120" s="240">
        <f>0.3*G120*H120*J120</f>
        <v>680512.5</v>
      </c>
      <c r="M120" s="7" t="s">
        <v>368</v>
      </c>
      <c r="N120" s="7">
        <f>L120/1000</f>
        <v>680.5125</v>
      </c>
      <c r="O120" s="7" t="s">
        <v>264</v>
      </c>
      <c r="P120" s="7"/>
      <c r="Q120" s="7"/>
      <c r="R120" s="7"/>
      <c r="S120" s="7"/>
      <c r="T120" s="277"/>
      <c r="U120" s="277"/>
      <c r="V120" s="277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</row>
    <row r="121" ht="13.5" customHeight="1">
      <c r="A121" s="29"/>
      <c r="B121" s="435"/>
      <c r="C121" s="268"/>
      <c r="D121" s="268"/>
      <c r="E121" s="284" t="s">
        <v>786</v>
      </c>
      <c r="F121" s="7"/>
      <c r="G121" s="7"/>
      <c r="H121" s="240">
        <f>K117</f>
        <v>0.9</v>
      </c>
      <c r="I121" s="240"/>
      <c r="J121" s="240">
        <f>G118</f>
        <v>300</v>
      </c>
      <c r="K121" s="240">
        <f>L118</f>
        <v>657.5</v>
      </c>
      <c r="L121" s="354" t="s">
        <v>40</v>
      </c>
      <c r="M121" s="240">
        <f>H121*J121*K121/2</f>
        <v>88762.5</v>
      </c>
      <c r="N121" s="240" t="s">
        <v>372</v>
      </c>
      <c r="O121" s="278">
        <f>M121/1000</f>
        <v>88.7625</v>
      </c>
      <c r="P121" s="7" t="s">
        <v>373</v>
      </c>
      <c r="Q121" s="7"/>
      <c r="R121" s="7"/>
      <c r="S121" s="7"/>
      <c r="T121" s="277"/>
      <c r="U121" s="277"/>
      <c r="V121" s="277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</row>
    <row r="122" ht="13.5" customHeight="1">
      <c r="A122" s="29"/>
      <c r="B122" s="435"/>
      <c r="C122" s="268"/>
      <c r="D122" s="268"/>
      <c r="E122" s="7" t="s">
        <v>787</v>
      </c>
      <c r="F122" s="7"/>
      <c r="G122" s="7"/>
      <c r="H122" s="7"/>
      <c r="I122" s="7"/>
      <c r="J122" s="7" t="str">
        <f>IF(AND(O121&lt;=G115,G115&lt;=N120),"được thỏa mãn, cần phải tính toán cốt đai cho dầm",IF(G115&lt;O121,"dầm không cần tính toán cốt đai mà được bố trí cốt đai theo yêu cầu cấu tạo"))</f>
        <v>được thỏa mãn, cần phải tính toán cốt đai cho dầm</v>
      </c>
      <c r="K122" s="7"/>
      <c r="L122" s="7"/>
      <c r="M122" s="7"/>
      <c r="N122" s="7"/>
      <c r="O122" s="7"/>
      <c r="P122" s="7"/>
      <c r="Q122" s="7"/>
      <c r="R122" s="7"/>
      <c r="S122" s="7"/>
      <c r="T122" s="277"/>
      <c r="U122" s="277"/>
      <c r="V122" s="277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</row>
    <row r="123" ht="13.5" customHeight="1">
      <c r="A123" s="29"/>
      <c r="B123" s="435"/>
      <c r="C123" s="268"/>
      <c r="D123" s="268" t="s">
        <v>375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277"/>
      <c r="U123" s="277"/>
      <c r="V123" s="277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</row>
    <row r="124" ht="13.5" customHeight="1">
      <c r="A124" s="29"/>
      <c r="B124" s="435"/>
      <c r="C124" s="268"/>
      <c r="D124" s="268"/>
      <c r="E124" s="7" t="s">
        <v>378</v>
      </c>
      <c r="F124" s="280">
        <f>G115</f>
        <v>241.213069</v>
      </c>
      <c r="G124" s="240" t="s">
        <v>788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277"/>
      <c r="U124" s="277"/>
      <c r="V124" s="277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</row>
    <row r="125" ht="13.5" customHeight="1">
      <c r="A125" s="29"/>
      <c r="B125" s="435"/>
      <c r="C125" s="268"/>
      <c r="D125" s="268"/>
      <c r="E125" s="240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277"/>
      <c r="U125" s="277"/>
      <c r="V125" s="277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</row>
    <row r="126" ht="13.5" customHeight="1">
      <c r="A126" s="29"/>
      <c r="B126" s="435"/>
      <c r="C126" s="268"/>
      <c r="D126" s="268"/>
      <c r="E126" s="7"/>
      <c r="F126" s="460"/>
      <c r="G126" s="7"/>
      <c r="H126" s="280"/>
      <c r="I126" s="280"/>
      <c r="J126" s="7"/>
      <c r="K126" s="7"/>
      <c r="L126" s="7"/>
      <c r="M126" s="280"/>
      <c r="N126" s="7"/>
      <c r="O126" s="7"/>
      <c r="P126" s="7"/>
      <c r="Q126" s="7"/>
      <c r="R126" s="7"/>
      <c r="S126" s="7"/>
      <c r="T126" s="277"/>
      <c r="U126" s="277"/>
      <c r="V126" s="277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</row>
    <row r="127" ht="13.5" customHeight="1">
      <c r="A127" s="29"/>
      <c r="B127" s="435"/>
      <c r="C127" s="268"/>
      <c r="D127" s="26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277"/>
      <c r="U127" s="277"/>
      <c r="V127" s="277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</row>
    <row r="128" ht="13.5" customHeight="1">
      <c r="A128" s="29"/>
      <c r="B128" s="435"/>
      <c r="C128" s="268"/>
      <c r="D128" s="268"/>
      <c r="E128" s="7"/>
      <c r="F128" s="27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277"/>
      <c r="U128" s="277"/>
      <c r="V128" s="277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</row>
    <row r="129" ht="13.5" customHeight="1">
      <c r="A129" s="29"/>
      <c r="B129" s="435"/>
      <c r="C129" s="268"/>
      <c r="D129" s="268"/>
      <c r="E129" s="7"/>
      <c r="F129" s="7"/>
      <c r="G129" s="7"/>
      <c r="H129" s="7"/>
      <c r="I129" s="7"/>
      <c r="J129" s="280">
        <f>(((F124*1000)^2)/(4.5*K117*G118*L118*L118))</f>
        <v>110.7729894</v>
      </c>
      <c r="K129" s="7" t="s">
        <v>383</v>
      </c>
      <c r="L129" s="7"/>
      <c r="M129" s="7"/>
      <c r="N129" s="7"/>
      <c r="O129" s="7"/>
      <c r="P129" s="7"/>
      <c r="Q129" s="7"/>
      <c r="R129" s="7"/>
      <c r="S129" s="7"/>
      <c r="T129" s="277"/>
      <c r="U129" s="277"/>
      <c r="V129" s="277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</row>
    <row r="130" ht="13.5" customHeight="1">
      <c r="A130" s="29"/>
      <c r="B130" s="435"/>
      <c r="C130" s="268"/>
      <c r="D130" s="26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277"/>
      <c r="U130" s="277"/>
      <c r="V130" s="277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</row>
    <row r="131" ht="13.5" customHeight="1">
      <c r="A131" s="29"/>
      <c r="B131" s="435"/>
      <c r="C131" s="268"/>
      <c r="D131" s="26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277"/>
      <c r="U131" s="277"/>
      <c r="V131" s="277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</row>
    <row r="132" ht="13.5" customHeight="1">
      <c r="A132" s="29"/>
      <c r="B132" s="435"/>
      <c r="C132" s="268"/>
      <c r="D132" s="268"/>
      <c r="E132" s="7"/>
      <c r="F132" s="7"/>
      <c r="G132" s="461" t="s">
        <v>789</v>
      </c>
      <c r="H132" s="240">
        <f>K117</f>
        <v>0.9</v>
      </c>
      <c r="I132" s="240"/>
      <c r="J132" s="240">
        <f>G118</f>
        <v>300</v>
      </c>
      <c r="K132" s="354" t="s">
        <v>40</v>
      </c>
      <c r="L132" s="339">
        <f>H132*J132/4</f>
        <v>67.5</v>
      </c>
      <c r="M132" s="7" t="s">
        <v>386</v>
      </c>
      <c r="N132" s="7"/>
      <c r="O132" s="7"/>
      <c r="P132" s="7"/>
      <c r="Q132" s="7"/>
      <c r="R132" s="7"/>
      <c r="S132" s="7"/>
      <c r="T132" s="277"/>
      <c r="U132" s="277"/>
      <c r="V132" s="277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</row>
    <row r="133" ht="13.5" customHeight="1">
      <c r="A133" s="29"/>
      <c r="B133" s="435"/>
      <c r="C133" s="268"/>
      <c r="D133" s="26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277"/>
      <c r="U133" s="277"/>
      <c r="V133" s="277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</row>
    <row r="134" ht="13.5" customHeight="1">
      <c r="A134" s="29"/>
      <c r="B134" s="435"/>
      <c r="C134" s="268"/>
      <c r="D134" s="268"/>
      <c r="E134" s="7"/>
      <c r="F134" s="272" t="s">
        <v>790</v>
      </c>
      <c r="G134" s="281">
        <f>L132</f>
        <v>67.5</v>
      </c>
      <c r="H134" s="7" t="s">
        <v>383</v>
      </c>
      <c r="I134" s="7"/>
      <c r="J134" s="282" t="str">
        <f>IF(G134&lt;L134,"&lt;","&gt;")</f>
        <v>&lt;</v>
      </c>
      <c r="K134" s="462" t="s">
        <v>791</v>
      </c>
      <c r="L134" s="281">
        <f>J129</f>
        <v>110.7729894</v>
      </c>
      <c r="M134" s="7" t="s">
        <v>383</v>
      </c>
      <c r="N134" s="7"/>
      <c r="O134" s="7"/>
      <c r="P134" s="7"/>
      <c r="Q134" s="7"/>
      <c r="R134" s="7"/>
      <c r="S134" s="7"/>
      <c r="T134" s="277"/>
      <c r="U134" s="277"/>
      <c r="V134" s="277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</row>
    <row r="135" ht="13.5" customHeight="1">
      <c r="A135" s="29"/>
      <c r="B135" s="435"/>
      <c r="C135" s="268"/>
      <c r="D135" s="285" t="s">
        <v>251</v>
      </c>
      <c r="E135" s="268" t="s">
        <v>792</v>
      </c>
      <c r="F135" s="7"/>
      <c r="G135" s="7"/>
      <c r="H135" s="463">
        <f>IF(J134="&gt;",G134,L134)</f>
        <v>110.7729894</v>
      </c>
      <c r="I135" s="463"/>
      <c r="J135" s="268" t="s">
        <v>386</v>
      </c>
      <c r="K135" s="7"/>
      <c r="L135" s="7"/>
      <c r="M135" s="7"/>
      <c r="N135" s="7"/>
      <c r="O135" s="7"/>
      <c r="P135" s="7"/>
      <c r="Q135" s="7"/>
      <c r="R135" s="7"/>
      <c r="S135" s="7"/>
      <c r="T135" s="277"/>
      <c r="U135" s="277"/>
      <c r="V135" s="277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</row>
    <row r="136" ht="13.5" customHeight="1">
      <c r="A136" s="29"/>
      <c r="B136" s="435"/>
      <c r="C136" s="268"/>
      <c r="D136" s="26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277"/>
      <c r="U136" s="277"/>
      <c r="V136" s="277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</row>
    <row r="137" ht="13.5" customHeight="1">
      <c r="A137" s="29"/>
      <c r="B137" s="435"/>
      <c r="C137" s="268"/>
      <c r="D137" s="268"/>
      <c r="E137" s="7"/>
      <c r="F137" s="7"/>
      <c r="G137" s="7"/>
      <c r="H137" s="71">
        <f>SQRT((1.5*K117*G118*L118*L118)/(0.75*H135))</f>
        <v>1451.696063</v>
      </c>
      <c r="I137" s="71"/>
      <c r="J137" s="7" t="s">
        <v>17</v>
      </c>
      <c r="K137" s="7"/>
      <c r="L137" s="7"/>
      <c r="M137" s="7"/>
      <c r="N137" s="7"/>
      <c r="O137" s="7"/>
      <c r="P137" s="7"/>
      <c r="Q137" s="7"/>
      <c r="R137" s="7"/>
      <c r="S137" s="7"/>
      <c r="T137" s="277"/>
      <c r="U137" s="277"/>
      <c r="V137" s="277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</row>
    <row r="138" ht="13.5" customHeight="1">
      <c r="A138" s="29"/>
      <c r="B138" s="435"/>
      <c r="C138" s="268"/>
      <c r="D138" s="268"/>
      <c r="E138" s="7"/>
      <c r="F138" s="27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277"/>
      <c r="U138" s="277"/>
      <c r="V138" s="277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</row>
    <row r="139" ht="13.5" customHeight="1">
      <c r="A139" s="29"/>
      <c r="B139" s="435"/>
      <c r="C139" s="268"/>
      <c r="D139" s="26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277"/>
      <c r="U139" s="277"/>
      <c r="V139" s="277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</row>
    <row r="140" ht="13.5" customHeight="1">
      <c r="A140" s="29"/>
      <c r="B140" s="435"/>
      <c r="C140" s="268"/>
      <c r="D140" s="268"/>
      <c r="E140" s="460" t="s">
        <v>793</v>
      </c>
      <c r="F140" s="231">
        <f>H137</f>
        <v>1451.696063</v>
      </c>
      <c r="G140" s="7" t="s">
        <v>21</v>
      </c>
      <c r="H140" s="282" t="str">
        <f>IF(F140&gt;K140,"&gt;","&lt;")</f>
        <v>&gt;</v>
      </c>
      <c r="I140" s="282"/>
      <c r="J140" s="460" t="s">
        <v>794</v>
      </c>
      <c r="K140" s="7">
        <f>2*L118</f>
        <v>1315</v>
      </c>
      <c r="L140" s="7" t="s">
        <v>21</v>
      </c>
      <c r="M140" s="7"/>
      <c r="N140" s="7"/>
      <c r="O140" s="7"/>
      <c r="P140" s="7"/>
      <c r="Q140" s="7"/>
      <c r="R140" s="7"/>
      <c r="S140" s="7"/>
      <c r="T140" s="277"/>
      <c r="U140" s="277"/>
      <c r="V140" s="277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</row>
    <row r="141" ht="13.5" customHeight="1">
      <c r="A141" s="29"/>
      <c r="B141" s="435"/>
      <c r="C141" s="268"/>
      <c r="D141" s="268"/>
      <c r="E141" s="7" t="str">
        <f>IF(H140="&gt;","Chỉ lấy","")</f>
        <v>Chỉ lấy</v>
      </c>
      <c r="F141" s="460" t="s">
        <v>795</v>
      </c>
      <c r="G141" s="7">
        <f>IF(F140&gt;K140,K140,F140)</f>
        <v>1315</v>
      </c>
      <c r="H141" s="7" t="s">
        <v>17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277"/>
      <c r="U141" s="277"/>
      <c r="V141" s="277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</row>
    <row r="142" ht="13.5" customHeight="1">
      <c r="A142" s="29"/>
      <c r="B142" s="435"/>
      <c r="C142" s="268"/>
      <c r="D142" s="285" t="s">
        <v>251</v>
      </c>
      <c r="E142" s="268" t="s">
        <v>796</v>
      </c>
      <c r="F142" s="7"/>
      <c r="G142" s="268">
        <f>G141</f>
        <v>1315</v>
      </c>
      <c r="H142" s="268" t="s">
        <v>395</v>
      </c>
      <c r="I142" s="268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277"/>
      <c r="U142" s="277"/>
      <c r="V142" s="277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</row>
    <row r="143" ht="13.5" customHeight="1">
      <c r="A143" s="29"/>
      <c r="B143" s="435"/>
      <c r="C143" s="268"/>
      <c r="D143" s="26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277"/>
      <c r="U143" s="277"/>
      <c r="V143" s="277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</row>
    <row r="144" ht="13.5" customHeight="1">
      <c r="A144" s="29"/>
      <c r="B144" s="435"/>
      <c r="C144" s="268"/>
      <c r="D144" s="268"/>
      <c r="E144" s="7" t="s">
        <v>378</v>
      </c>
      <c r="F144" s="280">
        <f>F124</f>
        <v>241.213069</v>
      </c>
      <c r="G144" s="240" t="s">
        <v>797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277"/>
      <c r="U144" s="277"/>
      <c r="V144" s="277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</row>
    <row r="145" ht="13.5" customHeight="1">
      <c r="A145" s="29"/>
      <c r="B145" s="435"/>
      <c r="C145" s="268"/>
      <c r="D145" s="26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277"/>
      <c r="U145" s="277"/>
      <c r="V145" s="277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</row>
    <row r="146" ht="13.5" customHeight="1">
      <c r="A146" s="29"/>
      <c r="B146" s="435"/>
      <c r="C146" s="268"/>
      <c r="D146" s="26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277"/>
      <c r="U146" s="277"/>
      <c r="V146" s="277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</row>
    <row r="147" ht="13.5" customHeight="1">
      <c r="A147" s="29"/>
      <c r="B147" s="435"/>
      <c r="C147" s="268"/>
      <c r="D147" s="268"/>
      <c r="E147" s="276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277"/>
      <c r="U147" s="277"/>
      <c r="V147" s="277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</row>
    <row r="148" ht="13.5" customHeight="1">
      <c r="A148" s="29"/>
      <c r="B148" s="435"/>
      <c r="C148" s="268"/>
      <c r="D148" s="268"/>
      <c r="E148" s="276" t="s">
        <v>397</v>
      </c>
      <c r="F148" s="7"/>
      <c r="G148" s="277"/>
      <c r="H148" s="7"/>
      <c r="I148" s="7"/>
      <c r="J148" s="7"/>
      <c r="K148" s="7"/>
      <c r="L148" s="281">
        <f>(F144*1000-((1.5*K117*G118*(L118^2))/(2*L118)))/(1.5*L118)</f>
        <v>109.5759888</v>
      </c>
      <c r="M148" s="7" t="s">
        <v>386</v>
      </c>
      <c r="N148" s="7"/>
      <c r="O148" s="7"/>
      <c r="P148" s="7"/>
      <c r="Q148" s="7"/>
      <c r="R148" s="7"/>
      <c r="S148" s="7"/>
      <c r="T148" s="277"/>
      <c r="U148" s="277"/>
      <c r="V148" s="277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</row>
    <row r="149" ht="13.5" customHeight="1">
      <c r="A149" s="29"/>
      <c r="B149" s="435"/>
      <c r="C149" s="268"/>
      <c r="D149" s="268"/>
      <c r="E149" s="276"/>
      <c r="F149" s="7"/>
      <c r="G149" s="460"/>
      <c r="H149" s="7"/>
      <c r="I149" s="7"/>
      <c r="J149" s="7"/>
      <c r="K149" s="7"/>
      <c r="L149" s="281"/>
      <c r="M149" s="7"/>
      <c r="N149" s="7"/>
      <c r="O149" s="7"/>
      <c r="P149" s="7"/>
      <c r="Q149" s="7"/>
      <c r="R149" s="7"/>
      <c r="S149" s="7"/>
      <c r="T149" s="277"/>
      <c r="U149" s="277"/>
      <c r="V149" s="277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</row>
    <row r="150" ht="13.5" customHeight="1">
      <c r="A150" s="29"/>
      <c r="B150" s="435"/>
      <c r="C150" s="268"/>
      <c r="D150" s="268"/>
      <c r="E150" s="240"/>
      <c r="F150" s="276" t="s">
        <v>798</v>
      </c>
      <c r="G150" s="464">
        <f>IF(L148&lt;G134,H135,L148)</f>
        <v>109.5759888</v>
      </c>
      <c r="H150" s="7" t="s">
        <v>386</v>
      </c>
      <c r="I150" s="7"/>
      <c r="J150" s="7"/>
      <c r="K150" s="7"/>
      <c r="L150" s="281"/>
      <c r="M150" s="7"/>
      <c r="N150" s="7"/>
      <c r="O150" s="7"/>
      <c r="P150" s="7"/>
      <c r="Q150" s="7"/>
      <c r="R150" s="7"/>
      <c r="S150" s="7"/>
      <c r="T150" s="277"/>
      <c r="U150" s="277"/>
      <c r="V150" s="277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</row>
    <row r="151" ht="13.5" customHeight="1">
      <c r="A151" s="29"/>
      <c r="B151" s="435"/>
      <c r="C151" s="268"/>
      <c r="D151" s="26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277"/>
      <c r="U151" s="277"/>
      <c r="V151" s="277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</row>
    <row r="152" ht="13.5" customHeight="1">
      <c r="A152" s="29"/>
      <c r="B152" s="435"/>
      <c r="C152" s="268"/>
      <c r="D152" s="285" t="s">
        <v>251</v>
      </c>
      <c r="E152" s="268" t="s">
        <v>799</v>
      </c>
      <c r="F152" s="276"/>
      <c r="G152" s="465">
        <v>8.0</v>
      </c>
      <c r="H152" s="268" t="s">
        <v>800</v>
      </c>
      <c r="I152" s="268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277"/>
      <c r="U152" s="277"/>
      <c r="V152" s="277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</row>
    <row r="153" ht="13.5" customHeight="1">
      <c r="A153" s="29"/>
      <c r="B153" s="435"/>
      <c r="C153" s="268"/>
      <c r="D153" s="268"/>
      <c r="E153" s="7" t="s">
        <v>401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277"/>
      <c r="U153" s="277"/>
      <c r="V153" s="277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</row>
    <row r="154" ht="13.5" customHeight="1">
      <c r="A154" s="29"/>
      <c r="B154" s="435"/>
      <c r="C154" s="268"/>
      <c r="D154" s="268"/>
      <c r="E154" s="7"/>
      <c r="F154" s="7"/>
      <c r="G154" s="7"/>
      <c r="H154" s="7"/>
      <c r="I154" s="7"/>
      <c r="J154" s="7"/>
      <c r="K154" s="466">
        <v>2.0</v>
      </c>
      <c r="L154" s="7"/>
      <c r="M154" s="7"/>
      <c r="N154" s="7"/>
      <c r="O154" s="7"/>
      <c r="P154" s="7"/>
      <c r="Q154" s="7"/>
      <c r="R154" s="7"/>
      <c r="S154" s="7"/>
      <c r="T154" s="277"/>
      <c r="U154" s="277"/>
      <c r="V154" s="277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</row>
    <row r="155" ht="13.5" customHeight="1">
      <c r="A155" s="29"/>
      <c r="B155" s="435"/>
      <c r="C155" s="268"/>
      <c r="D155" s="268"/>
      <c r="E155" s="7"/>
      <c r="F155" s="467" t="s">
        <v>46</v>
      </c>
      <c r="G155" s="240">
        <v>2.0</v>
      </c>
      <c r="H155" s="339">
        <f>PI()</f>
        <v>3.141592654</v>
      </c>
      <c r="I155" s="339"/>
      <c r="J155" s="468">
        <f>G152</f>
        <v>8</v>
      </c>
      <c r="K155" s="240" t="s">
        <v>324</v>
      </c>
      <c r="L155" s="7"/>
      <c r="M155" s="7"/>
      <c r="N155" s="7"/>
      <c r="O155" s="7"/>
      <c r="P155" s="7"/>
      <c r="Q155" s="7"/>
      <c r="R155" s="7"/>
      <c r="S155" s="7"/>
      <c r="T155" s="277"/>
      <c r="U155" s="277"/>
      <c r="V155" s="277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</row>
    <row r="156" ht="13.5" customHeight="1">
      <c r="A156" s="29"/>
      <c r="B156" s="435"/>
      <c r="C156" s="268"/>
      <c r="D156" s="268"/>
      <c r="E156" s="7"/>
      <c r="F156" s="7"/>
      <c r="G156" s="275" t="s">
        <v>254</v>
      </c>
      <c r="H156" s="7"/>
      <c r="I156" s="7"/>
      <c r="J156" s="7"/>
      <c r="K156" s="7"/>
      <c r="L156" s="281">
        <f>G155*H155*J155*J155/H157</f>
        <v>100.5309649</v>
      </c>
      <c r="M156" s="240" t="s">
        <v>801</v>
      </c>
      <c r="N156" s="7"/>
      <c r="O156" s="7"/>
      <c r="P156" s="7"/>
      <c r="Q156" s="7"/>
      <c r="R156" s="7"/>
      <c r="S156" s="7"/>
      <c r="T156" s="277"/>
      <c r="U156" s="277"/>
      <c r="V156" s="277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</row>
    <row r="157" ht="13.5" customHeight="1">
      <c r="A157" s="29"/>
      <c r="B157" s="435"/>
      <c r="C157" s="268"/>
      <c r="D157" s="268"/>
      <c r="E157" s="7"/>
      <c r="F157" s="7"/>
      <c r="G157" s="7"/>
      <c r="H157" s="7">
        <v>4.0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277"/>
      <c r="U157" s="277"/>
      <c r="V157" s="277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</row>
    <row r="158" ht="13.5" customHeight="1">
      <c r="A158" s="29"/>
      <c r="B158" s="435"/>
      <c r="C158" s="268"/>
      <c r="D158" s="268"/>
      <c r="E158" s="7" t="s">
        <v>403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277"/>
      <c r="U158" s="277"/>
      <c r="V158" s="277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</row>
    <row r="159" ht="13.5" customHeight="1">
      <c r="A159" s="29"/>
      <c r="B159" s="435"/>
      <c r="C159" s="268"/>
      <c r="D159" s="26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277"/>
      <c r="U159" s="277"/>
      <c r="V159" s="277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</row>
    <row r="160" ht="13.5" customHeight="1">
      <c r="A160" s="29"/>
      <c r="B160" s="435"/>
      <c r="C160" s="268"/>
      <c r="D160" s="268"/>
      <c r="E160" s="7"/>
      <c r="F160" s="277"/>
      <c r="G160" s="240">
        <f>M117</f>
        <v>170</v>
      </c>
      <c r="H160" s="338" t="s">
        <v>84</v>
      </c>
      <c r="I160" s="338"/>
      <c r="J160" s="339">
        <f>L156</f>
        <v>100.5309649</v>
      </c>
      <c r="K160" s="240"/>
      <c r="L160" s="7"/>
      <c r="M160" s="7"/>
      <c r="N160" s="7"/>
      <c r="O160" s="7"/>
      <c r="P160" s="7"/>
      <c r="Q160" s="7"/>
      <c r="R160" s="7"/>
      <c r="S160" s="7"/>
      <c r="T160" s="277"/>
      <c r="U160" s="277"/>
      <c r="V160" s="277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</row>
    <row r="161" ht="13.5" customHeight="1">
      <c r="A161" s="29"/>
      <c r="B161" s="435"/>
      <c r="C161" s="268"/>
      <c r="D161" s="268"/>
      <c r="E161" s="7"/>
      <c r="F161" s="7"/>
      <c r="G161" s="275" t="s">
        <v>404</v>
      </c>
      <c r="H161" s="240"/>
      <c r="I161" s="240"/>
      <c r="J161" s="240"/>
      <c r="K161" s="71">
        <f>G160*J160/H162</f>
        <v>155.9672354</v>
      </c>
      <c r="L161" s="7" t="s">
        <v>53</v>
      </c>
      <c r="M161" s="7"/>
      <c r="N161" s="7"/>
      <c r="O161" s="7"/>
      <c r="P161" s="7"/>
      <c r="Q161" s="7"/>
      <c r="R161" s="7"/>
      <c r="S161" s="7"/>
      <c r="T161" s="277"/>
      <c r="U161" s="277"/>
      <c r="V161" s="277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</row>
    <row r="162" ht="13.5" customHeight="1">
      <c r="A162" s="29"/>
      <c r="B162" s="435"/>
      <c r="C162" s="268"/>
      <c r="D162" s="268"/>
      <c r="E162" s="7"/>
      <c r="F162" s="7"/>
      <c r="G162" s="240"/>
      <c r="H162" s="339">
        <f>G150</f>
        <v>109.5759888</v>
      </c>
      <c r="I162" s="339"/>
      <c r="J162" s="240"/>
      <c r="K162" s="240"/>
      <c r="L162" s="7"/>
      <c r="M162" s="7"/>
      <c r="N162" s="7"/>
      <c r="O162" s="7"/>
      <c r="P162" s="7"/>
      <c r="Q162" s="7"/>
      <c r="R162" s="7"/>
      <c r="S162" s="7"/>
      <c r="T162" s="277"/>
      <c r="U162" s="277"/>
      <c r="V162" s="277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</row>
    <row r="163" ht="13.5" customHeight="1">
      <c r="A163" s="29"/>
      <c r="B163" s="435"/>
      <c r="C163" s="268"/>
      <c r="D163" s="268"/>
      <c r="E163" s="7" t="s">
        <v>405</v>
      </c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277"/>
      <c r="U163" s="277"/>
      <c r="V163" s="277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</row>
    <row r="164" ht="13.5" customHeight="1">
      <c r="A164" s="29"/>
      <c r="B164" s="435"/>
      <c r="C164" s="268"/>
      <c r="D164" s="26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277"/>
      <c r="U164" s="277"/>
      <c r="V164" s="277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</row>
    <row r="165" ht="13.5" customHeight="1">
      <c r="A165" s="29"/>
      <c r="B165" s="435"/>
      <c r="C165" s="268"/>
      <c r="D165" s="268"/>
      <c r="E165" s="7"/>
      <c r="F165" s="7"/>
      <c r="G165" s="7"/>
      <c r="H165" s="461" t="s">
        <v>802</v>
      </c>
      <c r="I165" s="461"/>
      <c r="J165" s="7">
        <f>L118</f>
        <v>657.5</v>
      </c>
      <c r="K165" s="7" t="s">
        <v>407</v>
      </c>
      <c r="L165" s="7">
        <f>MIN(0.5*J165,300)</f>
        <v>300</v>
      </c>
      <c r="M165" s="7" t="s">
        <v>53</v>
      </c>
      <c r="N165" s="7"/>
      <c r="O165" s="7"/>
      <c r="P165" s="7"/>
      <c r="Q165" s="7"/>
      <c r="R165" s="7"/>
      <c r="S165" s="7"/>
      <c r="T165" s="277"/>
      <c r="U165" s="277"/>
      <c r="V165" s="277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</row>
    <row r="166" ht="13.5" customHeight="1">
      <c r="A166" s="29"/>
      <c r="B166" s="435"/>
      <c r="C166" s="268"/>
      <c r="D166" s="26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277"/>
      <c r="U166" s="277"/>
      <c r="V166" s="277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</row>
    <row r="167" ht="13.5" customHeight="1">
      <c r="A167" s="29"/>
      <c r="B167" s="435"/>
      <c r="C167" s="268"/>
      <c r="D167" s="268"/>
      <c r="E167" s="7" t="s">
        <v>408</v>
      </c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277"/>
      <c r="U167" s="277"/>
      <c r="V167" s="277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</row>
    <row r="168" ht="13.5" customHeight="1">
      <c r="A168" s="29"/>
      <c r="B168" s="435"/>
      <c r="C168" s="268"/>
      <c r="D168" s="268"/>
      <c r="E168" s="7"/>
      <c r="F168" s="7"/>
      <c r="G168" s="7"/>
      <c r="H168" s="7"/>
      <c r="I168" s="7"/>
      <c r="J168" s="469">
        <v>2.0</v>
      </c>
      <c r="K168" s="7"/>
      <c r="L168" s="7"/>
      <c r="M168" s="7"/>
      <c r="N168" s="7"/>
      <c r="O168" s="7"/>
      <c r="P168" s="7"/>
      <c r="Q168" s="7"/>
      <c r="R168" s="7"/>
      <c r="S168" s="7"/>
      <c r="T168" s="277"/>
      <c r="U168" s="277"/>
      <c r="V168" s="277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</row>
    <row r="169" ht="13.5" customHeight="1">
      <c r="A169" s="29"/>
      <c r="B169" s="435"/>
      <c r="C169" s="268"/>
      <c r="D169" s="268"/>
      <c r="E169" s="7"/>
      <c r="F169" s="277"/>
      <c r="G169" s="240">
        <f>K117</f>
        <v>0.9</v>
      </c>
      <c r="H169" s="240">
        <f>G118</f>
        <v>300</v>
      </c>
      <c r="I169" s="240"/>
      <c r="J169" s="276">
        <f>L118</f>
        <v>657.5</v>
      </c>
      <c r="K169" s="7"/>
      <c r="L169" s="7"/>
      <c r="M169" s="7"/>
      <c r="N169" s="7"/>
      <c r="O169" s="7"/>
      <c r="P169" s="7"/>
      <c r="Q169" s="7"/>
      <c r="R169" s="7"/>
      <c r="S169" s="7"/>
      <c r="T169" s="277"/>
      <c r="U169" s="277"/>
      <c r="V169" s="277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</row>
    <row r="170" ht="13.5" customHeight="1">
      <c r="A170" s="29"/>
      <c r="B170" s="435"/>
      <c r="C170" s="268"/>
      <c r="D170" s="268"/>
      <c r="E170" s="7"/>
      <c r="F170" s="7"/>
      <c r="G170" s="275" t="s">
        <v>409</v>
      </c>
      <c r="H170" s="7"/>
      <c r="I170" s="7"/>
      <c r="J170" s="7"/>
      <c r="K170" s="71">
        <f>G169*H169*J169*J169/H171</f>
        <v>483.8986876</v>
      </c>
      <c r="L170" s="7"/>
      <c r="M170" s="7"/>
      <c r="N170" s="7"/>
      <c r="O170" s="7"/>
      <c r="P170" s="7"/>
      <c r="Q170" s="7"/>
      <c r="R170" s="7"/>
      <c r="S170" s="7"/>
      <c r="T170" s="277"/>
      <c r="U170" s="277"/>
      <c r="V170" s="277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</row>
    <row r="171" ht="13.5" customHeight="1">
      <c r="A171" s="29"/>
      <c r="B171" s="435"/>
      <c r="C171" s="268"/>
      <c r="D171" s="268"/>
      <c r="E171" s="7"/>
      <c r="F171" s="7"/>
      <c r="G171" s="7"/>
      <c r="H171" s="231">
        <f>F144*1000</f>
        <v>241213.069</v>
      </c>
      <c r="I171" s="231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277"/>
      <c r="U171" s="277"/>
      <c r="V171" s="277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</row>
    <row r="172" ht="13.5" customHeight="1">
      <c r="A172" s="29"/>
      <c r="B172" s="435"/>
      <c r="C172" s="268"/>
      <c r="D172" s="268"/>
      <c r="E172" s="7" t="s">
        <v>803</v>
      </c>
      <c r="F172" s="7"/>
      <c r="G172" s="7"/>
      <c r="H172" s="7"/>
      <c r="I172" s="7"/>
      <c r="J172" s="7"/>
      <c r="K172" s="240" t="str">
        <f>IF(L172=K161,"Stt  =",IF(L172=L165,"Sct  =","Smax  ="))</f>
        <v>Stt  =</v>
      </c>
      <c r="L172" s="231">
        <f>MIN(K161,L165,K170)</f>
        <v>155.9672354</v>
      </c>
      <c r="M172" s="7" t="s">
        <v>21</v>
      </c>
      <c r="N172" s="7"/>
      <c r="O172" s="7"/>
      <c r="P172" s="7"/>
      <c r="Q172" s="7"/>
      <c r="R172" s="7"/>
      <c r="S172" s="7"/>
      <c r="T172" s="277"/>
      <c r="U172" s="277"/>
      <c r="V172" s="277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</row>
    <row r="173" ht="13.5" customHeight="1">
      <c r="A173" s="29"/>
      <c r="B173" s="435"/>
      <c r="C173" s="268"/>
      <c r="D173" s="268"/>
      <c r="E173" s="7"/>
      <c r="F173" s="340" t="s">
        <v>415</v>
      </c>
      <c r="G173" s="7">
        <f>10*INT(L172/10)</f>
        <v>150</v>
      </c>
      <c r="H173" s="7" t="s">
        <v>17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277"/>
      <c r="U173" s="277"/>
      <c r="V173" s="277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</row>
    <row r="174" ht="13.5" customHeight="1">
      <c r="A174" s="29"/>
      <c r="B174" s="435"/>
      <c r="C174" s="268"/>
      <c r="D174" s="268"/>
      <c r="E174" s="7" t="s">
        <v>804</v>
      </c>
      <c r="F174" s="7"/>
      <c r="G174" s="7"/>
      <c r="H174" s="7"/>
      <c r="I174" s="7"/>
      <c r="J174" s="240">
        <f>G152</f>
        <v>8</v>
      </c>
      <c r="K174" s="7" t="s">
        <v>418</v>
      </c>
      <c r="L174" s="7"/>
      <c r="M174" s="7">
        <f>G173</f>
        <v>150</v>
      </c>
      <c r="N174" s="7" t="s">
        <v>17</v>
      </c>
      <c r="O174" s="7"/>
      <c r="P174" s="7"/>
      <c r="Q174" s="7"/>
      <c r="R174" s="7"/>
      <c r="S174" s="7"/>
      <c r="T174" s="277"/>
      <c r="U174" s="277"/>
      <c r="V174" s="277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</row>
    <row r="175" ht="13.5" customHeight="1">
      <c r="A175" s="29"/>
      <c r="B175" s="435"/>
      <c r="C175" s="268"/>
      <c r="D175" s="26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277"/>
      <c r="U175" s="277"/>
      <c r="V175" s="277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</row>
    <row r="176" ht="13.5" customHeight="1">
      <c r="A176" s="29"/>
      <c r="B176" s="435"/>
      <c r="C176" s="268" t="s">
        <v>805</v>
      </c>
      <c r="D176" s="268"/>
      <c r="E176" s="277"/>
      <c r="F176" s="7"/>
      <c r="G176" s="470">
        <f>IF('Tính dầm chính'!G3=4,E22,IF('Tính dầm chính'!G3=3,P22,""))</f>
        <v>146.328359</v>
      </c>
      <c r="H176" s="7" t="s">
        <v>356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277"/>
      <c r="U176" s="277"/>
      <c r="V176" s="277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</row>
    <row r="177" ht="13.5" customHeight="1">
      <c r="A177" s="29"/>
      <c r="B177" s="435"/>
      <c r="C177" s="268"/>
      <c r="D177" s="26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277"/>
      <c r="U177" s="277"/>
      <c r="V177" s="277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</row>
    <row r="178" ht="13.5" customHeight="1">
      <c r="A178" s="29"/>
      <c r="B178" s="435"/>
      <c r="C178" s="268"/>
      <c r="D178" s="268" t="s">
        <v>375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277"/>
      <c r="U178" s="277"/>
      <c r="V178" s="277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</row>
    <row r="179" ht="13.5" customHeight="1">
      <c r="A179" s="29"/>
      <c r="B179" s="435"/>
      <c r="C179" s="268"/>
      <c r="D179" s="268"/>
      <c r="E179" s="7" t="s">
        <v>378</v>
      </c>
      <c r="F179" s="280">
        <f>G176</f>
        <v>146.328359</v>
      </c>
      <c r="G179" s="240" t="s">
        <v>806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277"/>
      <c r="U179" s="277"/>
      <c r="V179" s="277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</row>
    <row r="180" ht="13.5" customHeight="1">
      <c r="A180" s="29"/>
      <c r="B180" s="435"/>
      <c r="C180" s="268"/>
      <c r="D180" s="268"/>
      <c r="E180" s="240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277"/>
      <c r="U180" s="277"/>
      <c r="V180" s="277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</row>
    <row r="181" ht="13.5" customHeight="1">
      <c r="A181" s="29"/>
      <c r="B181" s="435"/>
      <c r="C181" s="268"/>
      <c r="D181" s="268"/>
      <c r="E181" s="7"/>
      <c r="F181" s="460"/>
      <c r="G181" s="7"/>
      <c r="H181" s="280"/>
      <c r="I181" s="280"/>
      <c r="J181" s="7"/>
      <c r="K181" s="7"/>
      <c r="L181" s="7"/>
      <c r="M181" s="280"/>
      <c r="N181" s="7"/>
      <c r="O181" s="7"/>
      <c r="P181" s="7"/>
      <c r="Q181" s="7"/>
      <c r="R181" s="7"/>
      <c r="S181" s="7"/>
      <c r="T181" s="277"/>
      <c r="U181" s="277"/>
      <c r="V181" s="277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</row>
    <row r="182" ht="13.5" customHeight="1">
      <c r="A182" s="29"/>
      <c r="B182" s="435"/>
      <c r="C182" s="268"/>
      <c r="D182" s="26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277"/>
      <c r="U182" s="277"/>
      <c r="V182" s="277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</row>
    <row r="183" ht="13.5" customHeight="1">
      <c r="A183" s="29"/>
      <c r="B183" s="435"/>
      <c r="C183" s="268"/>
      <c r="D183" s="268"/>
      <c r="E183" s="7"/>
      <c r="F183" s="27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277"/>
      <c r="U183" s="277"/>
      <c r="V183" s="277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</row>
    <row r="184" ht="13.5" customHeight="1">
      <c r="A184" s="29"/>
      <c r="B184" s="435"/>
      <c r="C184" s="268"/>
      <c r="D184" s="268"/>
      <c r="E184" s="7"/>
      <c r="F184" s="7"/>
      <c r="G184" s="7"/>
      <c r="H184" s="7"/>
      <c r="I184" s="7"/>
      <c r="J184" s="280">
        <f>(((F179*1000)^2)/(4.5*K117*G118*L118*L118))</f>
        <v>40.76516574</v>
      </c>
      <c r="K184" s="7" t="s">
        <v>383</v>
      </c>
      <c r="L184" s="7"/>
      <c r="M184" s="7"/>
      <c r="N184" s="7"/>
      <c r="O184" s="7"/>
      <c r="P184" s="7"/>
      <c r="Q184" s="7"/>
      <c r="R184" s="7"/>
      <c r="S184" s="7"/>
      <c r="T184" s="277"/>
      <c r="U184" s="277"/>
      <c r="V184" s="277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</row>
    <row r="185" ht="13.5" customHeight="1">
      <c r="A185" s="29"/>
      <c r="B185" s="435"/>
      <c r="C185" s="268"/>
      <c r="D185" s="26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277"/>
      <c r="U185" s="277"/>
      <c r="V185" s="277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</row>
    <row r="186" ht="13.5" customHeight="1">
      <c r="A186" s="29"/>
      <c r="B186" s="435"/>
      <c r="C186" s="268"/>
      <c r="D186" s="26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277"/>
      <c r="U186" s="277"/>
      <c r="V186" s="277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</row>
    <row r="187" ht="13.5" customHeight="1">
      <c r="A187" s="29"/>
      <c r="B187" s="435"/>
      <c r="C187" s="268"/>
      <c r="D187" s="268"/>
      <c r="E187" s="7"/>
      <c r="F187" s="7"/>
      <c r="G187" s="461" t="s">
        <v>807</v>
      </c>
      <c r="H187" s="240"/>
      <c r="I187" s="240"/>
      <c r="J187" s="240"/>
      <c r="K187" s="354" t="s">
        <v>40</v>
      </c>
      <c r="L187" s="339">
        <f>L132</f>
        <v>67.5</v>
      </c>
      <c r="M187" s="7" t="s">
        <v>386</v>
      </c>
      <c r="N187" s="7"/>
      <c r="O187" s="7"/>
      <c r="P187" s="7"/>
      <c r="Q187" s="7"/>
      <c r="R187" s="7"/>
      <c r="S187" s="7"/>
      <c r="T187" s="277"/>
      <c r="U187" s="277"/>
      <c r="V187" s="277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</row>
    <row r="188" ht="13.5" customHeight="1">
      <c r="A188" s="29"/>
      <c r="B188" s="435"/>
      <c r="C188" s="268"/>
      <c r="D188" s="26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277"/>
      <c r="U188" s="277"/>
      <c r="V188" s="277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</row>
    <row r="189" ht="13.5" customHeight="1">
      <c r="A189" s="29"/>
      <c r="B189" s="435"/>
      <c r="C189" s="268"/>
      <c r="D189" s="268"/>
      <c r="E189" s="7"/>
      <c r="F189" s="272" t="s">
        <v>808</v>
      </c>
      <c r="G189" s="281">
        <f>L187</f>
        <v>67.5</v>
      </c>
      <c r="H189" s="7" t="s">
        <v>383</v>
      </c>
      <c r="I189" s="7"/>
      <c r="J189" s="282" t="str">
        <f>IF(G189&lt;L189,"&lt;","&gt;")</f>
        <v>&gt;</v>
      </c>
      <c r="K189" s="462" t="s">
        <v>809</v>
      </c>
      <c r="L189" s="281">
        <f>J184</f>
        <v>40.76516574</v>
      </c>
      <c r="M189" s="7" t="s">
        <v>383</v>
      </c>
      <c r="N189" s="7"/>
      <c r="O189" s="7"/>
      <c r="P189" s="7"/>
      <c r="Q189" s="7"/>
      <c r="R189" s="7"/>
      <c r="S189" s="7"/>
      <c r="T189" s="277"/>
      <c r="U189" s="277"/>
      <c r="V189" s="277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</row>
    <row r="190" ht="13.5" customHeight="1">
      <c r="A190" s="29"/>
      <c r="B190" s="435"/>
      <c r="C190" s="268"/>
      <c r="D190" s="285" t="s">
        <v>251</v>
      </c>
      <c r="E190" s="268" t="s">
        <v>810</v>
      </c>
      <c r="F190" s="7"/>
      <c r="G190" s="7"/>
      <c r="H190" s="463">
        <f>IF(J189="&gt;",G189,L189)</f>
        <v>67.5</v>
      </c>
      <c r="I190" s="463"/>
      <c r="J190" s="268" t="s">
        <v>386</v>
      </c>
      <c r="K190" s="7"/>
      <c r="L190" s="7"/>
      <c r="M190" s="7"/>
      <c r="N190" s="7"/>
      <c r="O190" s="7"/>
      <c r="P190" s="7"/>
      <c r="Q190" s="7"/>
      <c r="R190" s="7"/>
      <c r="S190" s="7"/>
      <c r="T190" s="277"/>
      <c r="U190" s="277"/>
      <c r="V190" s="277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</row>
    <row r="191" ht="13.5" customHeight="1">
      <c r="A191" s="29"/>
      <c r="B191" s="435"/>
      <c r="C191" s="268"/>
      <c r="D191" s="26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277"/>
      <c r="U191" s="277"/>
      <c r="V191" s="277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</row>
    <row r="192" ht="13.5" customHeight="1">
      <c r="A192" s="29"/>
      <c r="B192" s="435"/>
      <c r="C192" s="268"/>
      <c r="D192" s="268"/>
      <c r="E192" s="7"/>
      <c r="F192" s="7"/>
      <c r="G192" s="7"/>
      <c r="H192" s="71">
        <f>SQRT((1.5*K117*G118*L118*L118)/(0.75*H190))</f>
        <v>1859.690835</v>
      </c>
      <c r="I192" s="71"/>
      <c r="J192" s="7" t="s">
        <v>17</v>
      </c>
      <c r="K192" s="7"/>
      <c r="L192" s="7"/>
      <c r="M192" s="7"/>
      <c r="N192" s="7"/>
      <c r="O192" s="7"/>
      <c r="P192" s="7"/>
      <c r="Q192" s="7"/>
      <c r="R192" s="7"/>
      <c r="S192" s="7"/>
      <c r="T192" s="277"/>
      <c r="U192" s="277"/>
      <c r="V192" s="277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</row>
    <row r="193" ht="13.5" customHeight="1">
      <c r="A193" s="29"/>
      <c r="B193" s="435"/>
      <c r="C193" s="268"/>
      <c r="D193" s="268"/>
      <c r="E193" s="7"/>
      <c r="F193" s="27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277"/>
      <c r="U193" s="277"/>
      <c r="V193" s="277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</row>
    <row r="194" ht="13.5" customHeight="1">
      <c r="A194" s="29"/>
      <c r="B194" s="435"/>
      <c r="C194" s="268"/>
      <c r="D194" s="26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277"/>
      <c r="U194" s="277"/>
      <c r="V194" s="277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</row>
    <row r="195" ht="13.5" customHeight="1">
      <c r="A195" s="29"/>
      <c r="B195" s="435"/>
      <c r="C195" s="268"/>
      <c r="D195" s="268"/>
      <c r="E195" s="460" t="s">
        <v>811</v>
      </c>
      <c r="F195" s="231">
        <f>H192</f>
        <v>1859.690835</v>
      </c>
      <c r="G195" s="7" t="s">
        <v>21</v>
      </c>
      <c r="H195" s="282" t="str">
        <f>IF(F195&gt;K195,"&gt;","&lt;")</f>
        <v>&gt;</v>
      </c>
      <c r="I195" s="282"/>
      <c r="J195" s="460" t="s">
        <v>812</v>
      </c>
      <c r="K195" s="7">
        <f>K140</f>
        <v>1315</v>
      </c>
      <c r="L195" s="7" t="s">
        <v>21</v>
      </c>
      <c r="M195" s="7"/>
      <c r="N195" s="7"/>
      <c r="O195" s="7"/>
      <c r="P195" s="7"/>
      <c r="Q195" s="7"/>
      <c r="R195" s="277"/>
      <c r="S195" s="277"/>
      <c r="T195" s="277"/>
      <c r="U195" s="277"/>
      <c r="V195" s="277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</row>
    <row r="196" ht="13.5" customHeight="1">
      <c r="A196" s="29"/>
      <c r="B196" s="435"/>
      <c r="C196" s="268"/>
      <c r="D196" s="268"/>
      <c r="E196" s="7" t="str">
        <f>IF(H195="&gt;","Chỉ lấy","")</f>
        <v>Chỉ lấy</v>
      </c>
      <c r="F196" s="460" t="s">
        <v>813</v>
      </c>
      <c r="G196" s="7">
        <f>IF(F195&gt;K195,K195,F195)</f>
        <v>1315</v>
      </c>
      <c r="H196" s="7" t="s">
        <v>17</v>
      </c>
      <c r="I196" s="7"/>
      <c r="J196" s="7"/>
      <c r="K196" s="7"/>
      <c r="L196" s="7"/>
      <c r="M196" s="7"/>
      <c r="N196" s="7"/>
      <c r="O196" s="7"/>
      <c r="P196" s="7"/>
      <c r="Q196" s="7"/>
      <c r="R196" s="277"/>
      <c r="S196" s="277"/>
      <c r="T196" s="277"/>
      <c r="U196" s="277"/>
      <c r="V196" s="277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</row>
    <row r="197" ht="13.5" customHeight="1">
      <c r="A197" s="29"/>
      <c r="B197" s="435"/>
      <c r="C197" s="268"/>
      <c r="D197" s="285" t="s">
        <v>251</v>
      </c>
      <c r="E197" s="268" t="s">
        <v>814</v>
      </c>
      <c r="F197" s="7"/>
      <c r="G197" s="268">
        <f>G196</f>
        <v>1315</v>
      </c>
      <c r="H197" s="268" t="s">
        <v>395</v>
      </c>
      <c r="I197" s="268"/>
      <c r="J197" s="7"/>
      <c r="K197" s="7"/>
      <c r="L197" s="7"/>
      <c r="M197" s="7"/>
      <c r="N197" s="7"/>
      <c r="O197" s="7"/>
      <c r="P197" s="7"/>
      <c r="Q197" s="7"/>
      <c r="R197" s="277"/>
      <c r="S197" s="277"/>
      <c r="T197" s="277"/>
      <c r="U197" s="277"/>
      <c r="V197" s="277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</row>
    <row r="198" ht="13.5" customHeight="1">
      <c r="A198" s="29"/>
      <c r="B198" s="435"/>
      <c r="C198" s="268"/>
      <c r="D198" s="26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277"/>
      <c r="S198" s="277"/>
      <c r="T198" s="277"/>
      <c r="U198" s="277"/>
      <c r="V198" s="277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</row>
    <row r="199" ht="13.5" customHeight="1">
      <c r="A199" s="29"/>
      <c r="B199" s="435"/>
      <c r="C199" s="268"/>
      <c r="D199" s="268"/>
      <c r="E199" s="7" t="s">
        <v>378</v>
      </c>
      <c r="F199" s="280">
        <f>F179</f>
        <v>146.328359</v>
      </c>
      <c r="G199" s="240" t="s">
        <v>815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277"/>
      <c r="S199" s="277"/>
      <c r="T199" s="277"/>
      <c r="U199" s="277"/>
      <c r="V199" s="277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</row>
    <row r="200" ht="13.5" customHeight="1">
      <c r="A200" s="29"/>
      <c r="B200" s="435"/>
      <c r="C200" s="268"/>
      <c r="D200" s="26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277"/>
      <c r="S200" s="277"/>
      <c r="T200" s="277"/>
      <c r="U200" s="277"/>
      <c r="V200" s="277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</row>
    <row r="201" ht="13.5" customHeight="1">
      <c r="A201" s="29"/>
      <c r="B201" s="435"/>
      <c r="C201" s="268"/>
      <c r="D201" s="26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277"/>
      <c r="S201" s="277"/>
      <c r="T201" s="277"/>
      <c r="U201" s="277"/>
      <c r="V201" s="277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</row>
    <row r="202" ht="13.5" customHeight="1">
      <c r="A202" s="29"/>
      <c r="B202" s="435"/>
      <c r="C202" s="268"/>
      <c r="D202" s="268"/>
      <c r="E202" s="276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277"/>
      <c r="S202" s="277"/>
      <c r="T202" s="277"/>
      <c r="U202" s="277"/>
      <c r="V202" s="277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</row>
    <row r="203" ht="13.5" customHeight="1">
      <c r="A203" s="29"/>
      <c r="B203" s="435"/>
      <c r="C203" s="268"/>
      <c r="D203" s="268"/>
      <c r="E203" s="276" t="s">
        <v>397</v>
      </c>
      <c r="F203" s="7"/>
      <c r="G203" s="277"/>
      <c r="H203" s="7"/>
      <c r="I203" s="7"/>
      <c r="J203" s="7"/>
      <c r="K203" s="7"/>
      <c r="L203" s="281">
        <f>(F199*1000-((1.5*K117*G118*(L118^2))/(2*L118)))/(1.5*L118)</f>
        <v>13.36842488</v>
      </c>
      <c r="M203" s="7" t="s">
        <v>386</v>
      </c>
      <c r="N203" s="7"/>
      <c r="O203" s="7"/>
      <c r="P203" s="7"/>
      <c r="Q203" s="7"/>
      <c r="R203" s="277"/>
      <c r="S203" s="277"/>
      <c r="T203" s="277"/>
      <c r="U203" s="277"/>
      <c r="V203" s="277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</row>
    <row r="204" ht="13.5" customHeight="1">
      <c r="A204" s="29"/>
      <c r="B204" s="435"/>
      <c r="C204" s="268"/>
      <c r="D204" s="268"/>
      <c r="E204" s="276"/>
      <c r="F204" s="7"/>
      <c r="G204" s="460"/>
      <c r="H204" s="7"/>
      <c r="I204" s="7"/>
      <c r="J204" s="7"/>
      <c r="K204" s="7"/>
      <c r="L204" s="281"/>
      <c r="M204" s="7"/>
      <c r="N204" s="7"/>
      <c r="O204" s="7"/>
      <c r="P204" s="7"/>
      <c r="Q204" s="7"/>
      <c r="R204" s="277"/>
      <c r="S204" s="277"/>
      <c r="T204" s="277"/>
      <c r="U204" s="277"/>
      <c r="V204" s="277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</row>
    <row r="205" ht="13.5" customHeight="1">
      <c r="A205" s="29"/>
      <c r="B205" s="435"/>
      <c r="C205" s="268"/>
      <c r="D205" s="268"/>
      <c r="E205" s="240"/>
      <c r="F205" s="276" t="s">
        <v>816</v>
      </c>
      <c r="G205" s="464">
        <f>IF(L203&lt;G189,H190,L203)</f>
        <v>67.5</v>
      </c>
      <c r="H205" s="7" t="s">
        <v>386</v>
      </c>
      <c r="I205" s="7"/>
      <c r="J205" s="7"/>
      <c r="K205" s="7"/>
      <c r="L205" s="281"/>
      <c r="M205" s="7"/>
      <c r="N205" s="7"/>
      <c r="O205" s="7"/>
      <c r="P205" s="7"/>
      <c r="Q205" s="7"/>
      <c r="R205" s="277"/>
      <c r="S205" s="277"/>
      <c r="T205" s="277"/>
      <c r="U205" s="277"/>
      <c r="V205" s="277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</row>
    <row r="206" ht="13.5" customHeight="1">
      <c r="A206" s="29"/>
      <c r="B206" s="435"/>
      <c r="C206" s="268"/>
      <c r="D206" s="26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277"/>
      <c r="S206" s="277"/>
      <c r="T206" s="277"/>
      <c r="U206" s="277"/>
      <c r="V206" s="277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</row>
    <row r="207" ht="13.5" customHeight="1">
      <c r="A207" s="29"/>
      <c r="B207" s="435"/>
      <c r="C207" s="268"/>
      <c r="D207" s="285" t="s">
        <v>251</v>
      </c>
      <c r="E207" s="268" t="s">
        <v>817</v>
      </c>
      <c r="F207" s="276"/>
      <c r="G207" s="465">
        <v>8.0</v>
      </c>
      <c r="H207" s="268" t="s">
        <v>800</v>
      </c>
      <c r="I207" s="268"/>
      <c r="J207" s="7"/>
      <c r="K207" s="7"/>
      <c r="L207" s="7"/>
      <c r="M207" s="7"/>
      <c r="N207" s="7"/>
      <c r="O207" s="7"/>
      <c r="P207" s="7"/>
      <c r="Q207" s="7"/>
      <c r="R207" s="277"/>
      <c r="S207" s="277"/>
      <c r="T207" s="277"/>
      <c r="U207" s="277"/>
      <c r="V207" s="277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</row>
    <row r="208" ht="13.5" customHeight="1">
      <c r="A208" s="29"/>
      <c r="B208" s="435"/>
      <c r="C208" s="268"/>
      <c r="D208" s="268"/>
      <c r="E208" s="7" t="s">
        <v>401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277"/>
      <c r="S208" s="277"/>
      <c r="T208" s="277"/>
      <c r="U208" s="277"/>
      <c r="V208" s="277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</row>
    <row r="209" ht="13.5" customHeight="1">
      <c r="A209" s="29"/>
      <c r="B209" s="435"/>
      <c r="C209" s="268"/>
      <c r="D209" s="268"/>
      <c r="E209" s="7"/>
      <c r="F209" s="7"/>
      <c r="G209" s="7"/>
      <c r="H209" s="7"/>
      <c r="I209" s="7"/>
      <c r="J209" s="7"/>
      <c r="K209" s="466">
        <v>2.0</v>
      </c>
      <c r="L209" s="7"/>
      <c r="M209" s="7"/>
      <c r="N209" s="7"/>
      <c r="O209" s="7"/>
      <c r="P209" s="7"/>
      <c r="Q209" s="7"/>
      <c r="R209" s="277"/>
      <c r="S209" s="277"/>
      <c r="T209" s="277"/>
      <c r="U209" s="277"/>
      <c r="V209" s="277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</row>
    <row r="210" ht="13.5" customHeight="1">
      <c r="A210" s="29"/>
      <c r="B210" s="435"/>
      <c r="C210" s="268"/>
      <c r="D210" s="268"/>
      <c r="E210" s="7"/>
      <c r="F210" s="467" t="s">
        <v>46</v>
      </c>
      <c r="G210" s="240">
        <v>2.0</v>
      </c>
      <c r="H210" s="339">
        <f>PI()</f>
        <v>3.141592654</v>
      </c>
      <c r="I210" s="339"/>
      <c r="J210" s="468">
        <f>G207</f>
        <v>8</v>
      </c>
      <c r="K210" s="240" t="s">
        <v>324</v>
      </c>
      <c r="L210" s="7"/>
      <c r="M210" s="7"/>
      <c r="N210" s="7"/>
      <c r="O210" s="7"/>
      <c r="P210" s="7"/>
      <c r="Q210" s="7"/>
      <c r="R210" s="277"/>
      <c r="S210" s="277"/>
      <c r="T210" s="277"/>
      <c r="U210" s="277"/>
      <c r="V210" s="277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</row>
    <row r="211" ht="13.5" customHeight="1">
      <c r="A211" s="29"/>
      <c r="B211" s="435"/>
      <c r="C211" s="268"/>
      <c r="D211" s="268"/>
      <c r="E211" s="7"/>
      <c r="F211" s="7"/>
      <c r="G211" s="275" t="s">
        <v>254</v>
      </c>
      <c r="H211" s="7"/>
      <c r="I211" s="7"/>
      <c r="J211" s="7"/>
      <c r="K211" s="7"/>
      <c r="L211" s="281">
        <f>G210*H210*J210*J210/H212</f>
        <v>100.5309649</v>
      </c>
      <c r="M211" s="240" t="s">
        <v>818</v>
      </c>
      <c r="N211" s="7"/>
      <c r="O211" s="7"/>
      <c r="P211" s="7"/>
      <c r="Q211" s="7"/>
      <c r="R211" s="277"/>
      <c r="S211" s="277"/>
      <c r="T211" s="277"/>
      <c r="U211" s="277"/>
      <c r="V211" s="277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</row>
    <row r="212" ht="13.5" customHeight="1">
      <c r="A212" s="29"/>
      <c r="B212" s="435"/>
      <c r="C212" s="268"/>
      <c r="D212" s="268"/>
      <c r="E212" s="7"/>
      <c r="F212" s="7"/>
      <c r="G212" s="7"/>
      <c r="H212" s="7">
        <v>4.0</v>
      </c>
      <c r="I212" s="7"/>
      <c r="J212" s="7"/>
      <c r="K212" s="7"/>
      <c r="L212" s="7"/>
      <c r="M212" s="7"/>
      <c r="N212" s="7"/>
      <c r="O212" s="7"/>
      <c r="P212" s="7"/>
      <c r="Q212" s="7"/>
      <c r="R212" s="277"/>
      <c r="S212" s="277"/>
      <c r="T212" s="277"/>
      <c r="U212" s="277"/>
      <c r="V212" s="277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</row>
    <row r="213" ht="13.5" customHeight="1">
      <c r="A213" s="29"/>
      <c r="B213" s="435"/>
      <c r="C213" s="268"/>
      <c r="D213" s="268"/>
      <c r="E213" s="7" t="s">
        <v>403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277"/>
      <c r="S213" s="277"/>
      <c r="T213" s="277"/>
      <c r="U213" s="277"/>
      <c r="V213" s="277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</row>
    <row r="214" ht="13.5" customHeight="1">
      <c r="A214" s="29"/>
      <c r="B214" s="435"/>
      <c r="C214" s="268"/>
      <c r="D214" s="26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277"/>
      <c r="S214" s="277"/>
      <c r="T214" s="277"/>
      <c r="U214" s="277"/>
      <c r="V214" s="277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ht="13.5" customHeight="1">
      <c r="A215" s="29"/>
      <c r="B215" s="435"/>
      <c r="C215" s="268"/>
      <c r="D215" s="268"/>
      <c r="E215" s="7"/>
      <c r="F215" s="277"/>
      <c r="G215" s="240">
        <f>G160</f>
        <v>170</v>
      </c>
      <c r="H215" s="338" t="s">
        <v>84</v>
      </c>
      <c r="I215" s="338"/>
      <c r="J215" s="339">
        <f>L211</f>
        <v>100.5309649</v>
      </c>
      <c r="K215" s="240"/>
      <c r="L215" s="7"/>
      <c r="M215" s="7"/>
      <c r="N215" s="7"/>
      <c r="O215" s="7"/>
      <c r="P215" s="7"/>
      <c r="Q215" s="7"/>
      <c r="R215" s="277"/>
      <c r="S215" s="277"/>
      <c r="T215" s="277"/>
      <c r="U215" s="277"/>
      <c r="V215" s="277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</row>
    <row r="216" ht="13.5" customHeight="1">
      <c r="A216" s="29"/>
      <c r="B216" s="435"/>
      <c r="C216" s="268"/>
      <c r="D216" s="268"/>
      <c r="E216" s="7"/>
      <c r="F216" s="7"/>
      <c r="G216" s="275" t="s">
        <v>404</v>
      </c>
      <c r="H216" s="240"/>
      <c r="I216" s="240"/>
      <c r="J216" s="240"/>
      <c r="K216" s="71">
        <f>G215*J215/H217</f>
        <v>253.1890968</v>
      </c>
      <c r="L216" s="7" t="s">
        <v>53</v>
      </c>
      <c r="M216" s="7"/>
      <c r="N216" s="7"/>
      <c r="O216" s="7"/>
      <c r="P216" s="7"/>
      <c r="Q216" s="7"/>
      <c r="R216" s="277"/>
      <c r="S216" s="277"/>
      <c r="T216" s="277"/>
      <c r="U216" s="277"/>
      <c r="V216" s="277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</row>
    <row r="217" ht="13.5" customHeight="1">
      <c r="A217" s="29"/>
      <c r="B217" s="435"/>
      <c r="C217" s="268"/>
      <c r="D217" s="268"/>
      <c r="E217" s="7"/>
      <c r="F217" s="7"/>
      <c r="G217" s="240"/>
      <c r="H217" s="339">
        <f>G205</f>
        <v>67.5</v>
      </c>
      <c r="I217" s="339"/>
      <c r="J217" s="240"/>
      <c r="K217" s="240"/>
      <c r="L217" s="7"/>
      <c r="M217" s="7"/>
      <c r="N217" s="7"/>
      <c r="O217" s="7"/>
      <c r="P217" s="7"/>
      <c r="Q217" s="7"/>
      <c r="R217" s="277"/>
      <c r="S217" s="277"/>
      <c r="T217" s="277"/>
      <c r="U217" s="277"/>
      <c r="V217" s="277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</row>
    <row r="218" ht="13.5" customHeight="1">
      <c r="A218" s="29"/>
      <c r="B218" s="435"/>
      <c r="C218" s="268"/>
      <c r="D218" s="268"/>
      <c r="E218" s="7" t="s">
        <v>405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277"/>
      <c r="S218" s="277"/>
      <c r="T218" s="277"/>
      <c r="U218" s="277"/>
      <c r="V218" s="277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</row>
    <row r="219" ht="13.5" customHeight="1">
      <c r="A219" s="29"/>
      <c r="B219" s="435"/>
      <c r="C219" s="268"/>
      <c r="D219" s="26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277"/>
      <c r="S219" s="277"/>
      <c r="T219" s="277"/>
      <c r="U219" s="277"/>
      <c r="V219" s="277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</row>
    <row r="220" ht="13.5" customHeight="1">
      <c r="A220" s="29"/>
      <c r="B220" s="435"/>
      <c r="C220" s="268"/>
      <c r="D220" s="268"/>
      <c r="E220" s="7"/>
      <c r="F220" s="7"/>
      <c r="G220" s="7"/>
      <c r="H220" s="461" t="s">
        <v>819</v>
      </c>
      <c r="I220" s="461"/>
      <c r="J220" s="7">
        <f>J169</f>
        <v>657.5</v>
      </c>
      <c r="K220" s="7" t="s">
        <v>407</v>
      </c>
      <c r="L220" s="7">
        <f>MIN(0.5*J220,300)</f>
        <v>300</v>
      </c>
      <c r="M220" s="7" t="s">
        <v>53</v>
      </c>
      <c r="N220" s="7"/>
      <c r="O220" s="7"/>
      <c r="P220" s="7"/>
      <c r="Q220" s="7"/>
      <c r="R220" s="277"/>
      <c r="S220" s="277"/>
      <c r="T220" s="277"/>
      <c r="U220" s="277"/>
      <c r="V220" s="277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</row>
    <row r="221" ht="13.5" customHeight="1">
      <c r="A221" s="29"/>
      <c r="B221" s="435"/>
      <c r="C221" s="268"/>
      <c r="D221" s="26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277"/>
      <c r="S221" s="277"/>
      <c r="T221" s="277"/>
      <c r="U221" s="277"/>
      <c r="V221" s="277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</row>
    <row r="222" ht="13.5" customHeight="1">
      <c r="A222" s="29"/>
      <c r="B222" s="435"/>
      <c r="C222" s="268"/>
      <c r="D222" s="268"/>
      <c r="E222" s="7" t="s">
        <v>408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277"/>
      <c r="S222" s="277"/>
      <c r="T222" s="277"/>
      <c r="U222" s="277"/>
      <c r="V222" s="277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</row>
    <row r="223" ht="13.5" customHeight="1">
      <c r="A223" s="29"/>
      <c r="B223" s="435"/>
      <c r="C223" s="268"/>
      <c r="D223" s="268"/>
      <c r="E223" s="7"/>
      <c r="F223" s="7"/>
      <c r="G223" s="7"/>
      <c r="H223" s="7"/>
      <c r="I223" s="7"/>
      <c r="J223" s="469">
        <v>2.0</v>
      </c>
      <c r="K223" s="7"/>
      <c r="L223" s="7"/>
      <c r="M223" s="7"/>
      <c r="N223" s="7"/>
      <c r="O223" s="7"/>
      <c r="P223" s="7"/>
      <c r="Q223" s="7"/>
      <c r="R223" s="277"/>
      <c r="S223" s="277"/>
      <c r="T223" s="277"/>
      <c r="U223" s="277"/>
      <c r="V223" s="277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</row>
    <row r="224" ht="13.5" customHeight="1">
      <c r="A224" s="29"/>
      <c r="B224" s="435"/>
      <c r="C224" s="268"/>
      <c r="D224" s="268"/>
      <c r="E224" s="7"/>
      <c r="F224" s="277"/>
      <c r="G224" s="240"/>
      <c r="H224" s="240"/>
      <c r="I224" s="240"/>
      <c r="J224" s="276"/>
      <c r="K224" s="7"/>
      <c r="L224" s="7"/>
      <c r="M224" s="7"/>
      <c r="N224" s="7"/>
      <c r="O224" s="7"/>
      <c r="P224" s="7"/>
      <c r="Q224" s="7"/>
      <c r="R224" s="277"/>
      <c r="S224" s="277"/>
      <c r="T224" s="277"/>
      <c r="U224" s="277"/>
      <c r="V224" s="277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</row>
    <row r="225" ht="13.5" customHeight="1">
      <c r="A225" s="29"/>
      <c r="B225" s="435"/>
      <c r="C225" s="268"/>
      <c r="D225" s="268"/>
      <c r="E225" s="7"/>
      <c r="F225" s="7"/>
      <c r="G225" s="7"/>
      <c r="H225" s="7"/>
      <c r="I225" s="7"/>
      <c r="J225" s="7"/>
      <c r="K225" s="71">
        <f>K170</f>
        <v>483.8986876</v>
      </c>
      <c r="L225" s="7"/>
      <c r="M225" s="7"/>
      <c r="N225" s="7"/>
      <c r="O225" s="7"/>
      <c r="P225" s="7"/>
      <c r="Q225" s="7"/>
      <c r="R225" s="277"/>
      <c r="S225" s="277"/>
      <c r="T225" s="277"/>
      <c r="U225" s="277"/>
      <c r="V225" s="277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</row>
    <row r="226" ht="13.5" customHeight="1">
      <c r="A226" s="29"/>
      <c r="B226" s="435"/>
      <c r="C226" s="268"/>
      <c r="D226" s="268"/>
      <c r="E226" s="7"/>
      <c r="F226" s="7"/>
      <c r="G226" s="7"/>
      <c r="H226" s="231"/>
      <c r="I226" s="231"/>
      <c r="J226" s="7"/>
      <c r="K226" s="7"/>
      <c r="L226" s="7"/>
      <c r="M226" s="7"/>
      <c r="N226" s="7"/>
      <c r="O226" s="7"/>
      <c r="P226" s="7"/>
      <c r="Q226" s="7"/>
      <c r="R226" s="277"/>
      <c r="S226" s="277"/>
      <c r="T226" s="277"/>
      <c r="U226" s="277"/>
      <c r="V226" s="277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</row>
    <row r="227" ht="13.5" customHeight="1">
      <c r="A227" s="29"/>
      <c r="B227" s="435"/>
      <c r="C227" s="268"/>
      <c r="D227" s="268"/>
      <c r="E227" s="7" t="s">
        <v>820</v>
      </c>
      <c r="F227" s="7"/>
      <c r="G227" s="7"/>
      <c r="H227" s="7"/>
      <c r="I227" s="7"/>
      <c r="J227" s="7"/>
      <c r="K227" s="240" t="str">
        <f>IF(L227=K216,"Stt  =",IF(L227=L220,"Sct  =","Smax  ="))</f>
        <v>Stt  =</v>
      </c>
      <c r="L227" s="231">
        <f>MIN(K216,L220,K225)</f>
        <v>253.1890968</v>
      </c>
      <c r="M227" s="7" t="s">
        <v>21</v>
      </c>
      <c r="N227" s="7"/>
      <c r="O227" s="7"/>
      <c r="P227" s="7"/>
      <c r="Q227" s="7"/>
      <c r="R227" s="277"/>
      <c r="S227" s="277"/>
      <c r="T227" s="277"/>
      <c r="U227" s="277"/>
      <c r="V227" s="277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</row>
    <row r="228" ht="13.5" customHeight="1">
      <c r="A228" s="29"/>
      <c r="B228" s="435"/>
      <c r="C228" s="268"/>
      <c r="D228" s="268"/>
      <c r="E228" s="7"/>
      <c r="F228" s="340" t="s">
        <v>415</v>
      </c>
      <c r="G228" s="7">
        <f>10*INT(L227/10)</f>
        <v>250</v>
      </c>
      <c r="H228" s="7" t="s">
        <v>17</v>
      </c>
      <c r="I228" s="7"/>
      <c r="J228" s="7"/>
      <c r="K228" s="7"/>
      <c r="L228" s="7"/>
      <c r="M228" s="7"/>
      <c r="N228" s="7"/>
      <c r="O228" s="7"/>
      <c r="P228" s="7"/>
      <c r="Q228" s="7"/>
      <c r="R228" s="277"/>
      <c r="S228" s="277"/>
      <c r="T228" s="277"/>
      <c r="U228" s="277"/>
      <c r="V228" s="277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</row>
    <row r="229" ht="13.5" customHeight="1">
      <c r="A229" s="29"/>
      <c r="B229" s="435"/>
      <c r="C229" s="268"/>
      <c r="D229" s="268"/>
      <c r="E229" s="7" t="s">
        <v>821</v>
      </c>
      <c r="F229" s="7"/>
      <c r="G229" s="7"/>
      <c r="H229" s="7"/>
      <c r="I229" s="7"/>
      <c r="J229" s="240">
        <f>G207</f>
        <v>8</v>
      </c>
      <c r="K229" s="7" t="s">
        <v>418</v>
      </c>
      <c r="L229" s="7"/>
      <c r="M229" s="7">
        <f>G228</f>
        <v>250</v>
      </c>
      <c r="N229" s="7" t="s">
        <v>17</v>
      </c>
      <c r="O229" s="7"/>
      <c r="P229" s="7"/>
      <c r="Q229" s="7"/>
      <c r="R229" s="277"/>
      <c r="S229" s="277"/>
      <c r="T229" s="277"/>
      <c r="U229" s="277"/>
      <c r="V229" s="277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</row>
    <row r="230" ht="13.5" customHeight="1">
      <c r="A230" s="29"/>
      <c r="B230" s="435"/>
      <c r="C230" s="451"/>
      <c r="D230" s="451"/>
      <c r="E230" s="451"/>
      <c r="F230" s="451"/>
      <c r="G230" s="451"/>
      <c r="H230" s="451"/>
      <c r="I230" s="451"/>
      <c r="J230" s="451"/>
      <c r="K230" s="451"/>
      <c r="L230" s="451"/>
      <c r="M230" s="451"/>
      <c r="N230" s="451"/>
      <c r="O230" s="451"/>
      <c r="P230" s="277"/>
      <c r="Q230" s="277"/>
      <c r="R230" s="277"/>
      <c r="S230" s="277"/>
      <c r="T230" s="277"/>
      <c r="U230" s="277"/>
      <c r="V230" s="277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</row>
    <row r="231" ht="13.5" customHeight="1">
      <c r="A231" s="29"/>
      <c r="B231" s="435"/>
      <c r="C231" s="451"/>
      <c r="D231" s="471" t="s">
        <v>822</v>
      </c>
      <c r="E231" s="451"/>
      <c r="F231" s="451"/>
      <c r="G231" s="451"/>
      <c r="H231" s="451"/>
      <c r="I231" s="451"/>
      <c r="J231" s="451"/>
      <c r="K231" s="451"/>
      <c r="L231" s="451"/>
      <c r="M231" s="451"/>
      <c r="N231" s="451"/>
      <c r="O231" s="451"/>
      <c r="P231" s="277"/>
      <c r="Q231" s="277"/>
      <c r="R231" s="277"/>
      <c r="S231" s="277"/>
      <c r="T231" s="277"/>
      <c r="U231" s="277"/>
      <c r="V231" s="277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</row>
    <row r="232" ht="13.5" customHeight="1">
      <c r="A232" s="29"/>
      <c r="B232" s="435"/>
      <c r="C232" s="451"/>
      <c r="D232" s="451"/>
      <c r="E232" s="451" t="s">
        <v>823</v>
      </c>
      <c r="F232" s="451"/>
      <c r="G232" s="451"/>
      <c r="H232" s="451"/>
      <c r="I232" s="451"/>
      <c r="J232" s="451"/>
      <c r="K232" s="451"/>
      <c r="L232" s="451"/>
      <c r="M232" s="451"/>
      <c r="N232" s="451"/>
      <c r="O232" s="451"/>
      <c r="P232" s="277"/>
      <c r="Q232" s="277"/>
      <c r="R232" s="277"/>
      <c r="S232" s="277"/>
      <c r="T232" s="277"/>
      <c r="U232" s="277"/>
      <c r="V232" s="277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</row>
    <row r="233" ht="13.5" customHeight="1">
      <c r="A233" s="29"/>
      <c r="B233" s="435"/>
      <c r="C233" s="451"/>
      <c r="D233" s="451"/>
      <c r="E233" s="451" t="s">
        <v>824</v>
      </c>
      <c r="F233" s="451"/>
      <c r="G233" s="451" t="s">
        <v>825</v>
      </c>
      <c r="H233" s="472">
        <f>'Tính dầm chính'!I21+'Tính dầm chính'!J19</f>
        <v>184.83636</v>
      </c>
      <c r="I233" s="472"/>
      <c r="J233" s="451" t="s">
        <v>826</v>
      </c>
      <c r="K233" s="451"/>
      <c r="L233" s="451"/>
      <c r="M233" s="451"/>
      <c r="N233" s="451"/>
      <c r="O233" s="451"/>
      <c r="P233" s="277"/>
      <c r="Q233" s="277"/>
      <c r="R233" s="277"/>
      <c r="S233" s="277"/>
      <c r="T233" s="277"/>
      <c r="U233" s="277"/>
      <c r="V233" s="277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</row>
    <row r="234" ht="13.5" customHeight="1">
      <c r="A234" s="29"/>
      <c r="B234" s="435"/>
      <c r="C234" s="451"/>
      <c r="D234" s="451"/>
      <c r="E234" s="451"/>
      <c r="F234" s="451"/>
      <c r="G234" s="451"/>
      <c r="H234" s="451"/>
      <c r="I234" s="451"/>
      <c r="J234" s="451"/>
      <c r="K234" s="451"/>
      <c r="L234" s="451"/>
      <c r="M234" s="451"/>
      <c r="N234" s="451"/>
      <c r="O234" s="451"/>
      <c r="P234" s="277"/>
      <c r="Q234" s="277"/>
      <c r="R234" s="277"/>
      <c r="S234" s="277"/>
      <c r="T234" s="277"/>
      <c r="U234" s="277"/>
      <c r="V234" s="277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</row>
    <row r="235" ht="13.5" customHeight="1">
      <c r="A235" s="29"/>
      <c r="B235" s="435"/>
      <c r="C235" s="451"/>
      <c r="D235" s="451"/>
      <c r="E235" s="451"/>
      <c r="F235" s="277"/>
      <c r="G235" s="451"/>
      <c r="H235" s="451"/>
      <c r="I235" s="451"/>
      <c r="J235" s="451"/>
      <c r="K235" s="451"/>
      <c r="L235" s="451"/>
      <c r="M235" s="451"/>
      <c r="N235" s="451"/>
      <c r="O235" s="451"/>
      <c r="P235" s="277"/>
      <c r="Q235" s="277"/>
      <c r="R235" s="277"/>
      <c r="S235" s="277"/>
      <c r="T235" s="277"/>
      <c r="U235" s="277"/>
      <c r="V235" s="277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</row>
    <row r="236" ht="13.5" customHeight="1">
      <c r="A236" s="29"/>
      <c r="B236" s="435"/>
      <c r="C236" s="451"/>
      <c r="D236" s="451"/>
      <c r="E236" s="451"/>
      <c r="F236" s="451"/>
      <c r="G236" s="451"/>
      <c r="H236" s="451">
        <f>(H233*10^3*(1-200/'TINH Q DAM CHINH'!J169))/'Nhập Rs thep CV240,300,400 '!P53</f>
        <v>756.5433657</v>
      </c>
      <c r="I236" s="451"/>
      <c r="J236" s="451" t="s">
        <v>724</v>
      </c>
      <c r="K236" s="451"/>
      <c r="L236" s="451"/>
      <c r="M236" s="451"/>
      <c r="N236" s="451"/>
      <c r="O236" s="451"/>
      <c r="P236" s="277"/>
      <c r="Q236" s="277"/>
      <c r="R236" s="277"/>
      <c r="S236" s="277"/>
      <c r="T236" s="277"/>
      <c r="U236" s="277"/>
      <c r="V236" s="277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</row>
    <row r="237" ht="13.5" customHeight="1">
      <c r="A237" s="29"/>
      <c r="B237" s="435"/>
      <c r="C237" s="451"/>
      <c r="D237" s="451"/>
      <c r="E237" s="451"/>
      <c r="F237" s="451"/>
      <c r="G237" s="451"/>
      <c r="H237" s="451"/>
      <c r="I237" s="451"/>
      <c r="J237" s="451"/>
      <c r="K237" s="451"/>
      <c r="L237" s="451"/>
      <c r="M237" s="451"/>
      <c r="N237" s="451"/>
      <c r="O237" s="451"/>
      <c r="P237" s="277"/>
      <c r="Q237" s="277"/>
      <c r="R237" s="277"/>
      <c r="S237" s="277"/>
      <c r="T237" s="277"/>
      <c r="U237" s="277"/>
      <c r="V237" s="277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</row>
    <row r="238" ht="13.5" customHeight="1">
      <c r="A238" s="29"/>
      <c r="B238" s="435"/>
      <c r="C238" s="451"/>
      <c r="D238" s="451"/>
      <c r="E238" s="451" t="s">
        <v>827</v>
      </c>
      <c r="F238" s="451" t="s">
        <v>828</v>
      </c>
      <c r="G238" s="451">
        <v>78.5</v>
      </c>
      <c r="H238" s="451" t="s">
        <v>829</v>
      </c>
      <c r="I238" s="451"/>
      <c r="J238" s="451"/>
      <c r="K238" s="451"/>
      <c r="L238" s="451"/>
      <c r="M238" s="451"/>
      <c r="N238" s="451"/>
      <c r="O238" s="451"/>
      <c r="P238" s="277"/>
      <c r="Q238" s="277"/>
      <c r="R238" s="277"/>
      <c r="S238" s="277"/>
      <c r="T238" s="277"/>
      <c r="U238" s="277"/>
      <c r="V238" s="277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</row>
    <row r="239" ht="13.5" customHeight="1">
      <c r="A239" s="29"/>
      <c r="B239" s="435"/>
      <c r="C239" s="451"/>
      <c r="D239" s="451"/>
      <c r="E239" s="451"/>
      <c r="F239" s="451"/>
      <c r="G239" s="451"/>
      <c r="H239" s="451"/>
      <c r="I239" s="451"/>
      <c r="J239" s="451"/>
      <c r="K239" s="451"/>
      <c r="L239" s="451"/>
      <c r="M239" s="451"/>
      <c r="N239" s="451"/>
      <c r="O239" s="451"/>
      <c r="P239" s="277"/>
      <c r="Q239" s="277"/>
      <c r="R239" s="277"/>
      <c r="S239" s="277"/>
      <c r="T239" s="277"/>
      <c r="U239" s="277"/>
      <c r="V239" s="277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</row>
    <row r="240" ht="13.5" customHeight="1">
      <c r="A240" s="29"/>
      <c r="B240" s="435"/>
      <c r="C240" s="451"/>
      <c r="D240" s="451"/>
      <c r="E240" s="451"/>
      <c r="F240" s="451"/>
      <c r="G240" s="451">
        <f>(H236/2/G238)</f>
        <v>4.818747552</v>
      </c>
      <c r="H240" s="451"/>
      <c r="I240" s="451"/>
      <c r="J240" s="451"/>
      <c r="K240" s="451"/>
      <c r="L240" s="451"/>
      <c r="M240" s="451"/>
      <c r="N240" s="451"/>
      <c r="O240" s="451"/>
      <c r="P240" s="277"/>
      <c r="Q240" s="277"/>
      <c r="R240" s="277"/>
      <c r="S240" s="277"/>
      <c r="T240" s="277"/>
      <c r="U240" s="277"/>
      <c r="V240" s="277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</row>
    <row r="241" ht="13.5" customHeight="1">
      <c r="A241" s="29"/>
      <c r="B241" s="435"/>
      <c r="C241" s="451"/>
      <c r="D241" s="451"/>
      <c r="E241" s="451"/>
      <c r="F241" s="451"/>
      <c r="G241" s="452"/>
      <c r="H241" s="451"/>
      <c r="I241" s="451"/>
      <c r="J241" s="451"/>
      <c r="K241" s="451"/>
      <c r="L241" s="451"/>
      <c r="M241" s="451"/>
      <c r="N241" s="451"/>
      <c r="O241" s="451"/>
      <c r="P241" s="277"/>
      <c r="Q241" s="277"/>
      <c r="R241" s="277"/>
      <c r="S241" s="277"/>
      <c r="T241" s="277"/>
      <c r="U241" s="277"/>
      <c r="V241" s="277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</row>
    <row r="242" ht="13.5" customHeight="1">
      <c r="A242" s="29"/>
      <c r="B242" s="435"/>
      <c r="C242" s="451"/>
      <c r="D242" s="451"/>
      <c r="E242" s="451" t="s">
        <v>830</v>
      </c>
      <c r="F242" s="451"/>
      <c r="G242" s="473">
        <f>G240</f>
        <v>4.818747552</v>
      </c>
      <c r="H242" s="451" t="s">
        <v>831</v>
      </c>
      <c r="I242" s="451"/>
      <c r="J242" s="451"/>
      <c r="K242" s="451"/>
      <c r="L242" s="451"/>
      <c r="M242" s="451"/>
      <c r="N242" s="451"/>
      <c r="O242" s="451"/>
      <c r="P242" s="277"/>
      <c r="Q242" s="277"/>
      <c r="R242" s="277"/>
      <c r="S242" s="277"/>
      <c r="T242" s="277"/>
      <c r="U242" s="277"/>
      <c r="V242" s="277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</row>
    <row r="243" ht="13.5" customHeight="1">
      <c r="A243" s="29"/>
      <c r="B243" s="435"/>
      <c r="C243" s="451"/>
      <c r="D243" s="471" t="s">
        <v>832</v>
      </c>
      <c r="E243" s="451"/>
      <c r="F243" s="451"/>
      <c r="G243" s="451"/>
      <c r="H243" s="451"/>
      <c r="I243" s="451"/>
      <c r="J243" s="451"/>
      <c r="K243" s="451"/>
      <c r="L243" s="451"/>
      <c r="M243" s="451"/>
      <c r="N243" s="451"/>
      <c r="O243" s="451"/>
      <c r="P243" s="277"/>
      <c r="Q243" s="277"/>
      <c r="R243" s="277"/>
      <c r="S243" s="277"/>
      <c r="T243" s="277"/>
      <c r="U243" s="277"/>
      <c r="V243" s="277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</row>
    <row r="244" ht="13.5" customHeight="1">
      <c r="A244" s="29"/>
      <c r="B244" s="435"/>
      <c r="C244" s="451"/>
      <c r="D244" s="451"/>
      <c r="E244" s="471" t="s">
        <v>833</v>
      </c>
      <c r="F244" s="451"/>
      <c r="G244" s="451"/>
      <c r="H244" s="451"/>
      <c r="I244" s="451"/>
      <c r="J244" s="451"/>
      <c r="K244" s="451"/>
      <c r="L244" s="451"/>
      <c r="M244" s="451"/>
      <c r="N244" s="451"/>
      <c r="O244" s="451"/>
      <c r="P244" s="277"/>
      <c r="Q244" s="277"/>
      <c r="R244" s="277"/>
      <c r="S244" s="277"/>
      <c r="T244" s="277"/>
      <c r="U244" s="277"/>
      <c r="V244" s="277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</row>
    <row r="245" ht="13.5" customHeight="1">
      <c r="A245" s="29"/>
      <c r="B245" s="435"/>
      <c r="C245" s="451"/>
      <c r="D245" s="451"/>
      <c r="E245" s="451" t="s">
        <v>834</v>
      </c>
      <c r="F245" s="451"/>
      <c r="G245" s="451"/>
      <c r="H245" s="451"/>
      <c r="I245" s="451"/>
      <c r="J245" s="451"/>
      <c r="K245" s="451"/>
      <c r="L245" s="451"/>
      <c r="M245" s="451"/>
      <c r="N245" s="451"/>
      <c r="O245" s="451"/>
      <c r="P245" s="277"/>
      <c r="Q245" s="277"/>
      <c r="R245" s="277"/>
      <c r="S245" s="277"/>
      <c r="T245" s="277"/>
      <c r="U245" s="277"/>
      <c r="V245" s="277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</row>
    <row r="246" ht="13.5" customHeight="1">
      <c r="A246" s="29"/>
      <c r="B246" s="435"/>
      <c r="C246" s="451"/>
      <c r="D246" s="451"/>
      <c r="E246" s="451" t="s">
        <v>835</v>
      </c>
      <c r="F246" s="451"/>
      <c r="G246" s="473">
        <f>H73</f>
        <v>2900</v>
      </c>
      <c r="H246" s="451" t="s">
        <v>21</v>
      </c>
      <c r="I246" s="451"/>
      <c r="J246" s="451" t="s">
        <v>836</v>
      </c>
      <c r="K246" s="474" t="str">
        <f>F94</f>
        <v>2f25 + 2f22</v>
      </c>
      <c r="L246" s="451"/>
      <c r="M246" s="451" t="s">
        <v>837</v>
      </c>
      <c r="N246" s="451" t="s">
        <v>723</v>
      </c>
      <c r="O246" s="451">
        <f>F95</f>
        <v>2213</v>
      </c>
      <c r="P246" s="455" t="s">
        <v>724</v>
      </c>
      <c r="Q246" s="277"/>
      <c r="R246" s="277"/>
      <c r="S246" s="277"/>
      <c r="T246" s="277"/>
      <c r="U246" s="277"/>
      <c r="V246" s="277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</row>
    <row r="247" ht="13.5" customHeight="1">
      <c r="A247" s="29"/>
      <c r="B247" s="435"/>
      <c r="C247" s="451"/>
      <c r="D247" s="451"/>
      <c r="E247" s="451"/>
      <c r="F247" s="451"/>
      <c r="G247" s="451"/>
      <c r="H247" s="451"/>
      <c r="I247" s="451"/>
      <c r="J247" s="451"/>
      <c r="K247" s="451" t="s">
        <v>838</v>
      </c>
      <c r="L247" s="451"/>
      <c r="M247" s="453" t="s">
        <v>40</v>
      </c>
      <c r="N247" s="453">
        <f>N99</f>
        <v>657.5</v>
      </c>
      <c r="O247" s="451" t="s">
        <v>724</v>
      </c>
      <c r="P247" s="277"/>
      <c r="Q247" s="277"/>
      <c r="R247" s="277"/>
      <c r="S247" s="277"/>
      <c r="T247" s="277"/>
      <c r="U247" s="277"/>
      <c r="V247" s="277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</row>
    <row r="248" ht="13.5" customHeight="1">
      <c r="A248" s="29"/>
      <c r="B248" s="435"/>
      <c r="C248" s="451"/>
      <c r="D248" s="268"/>
      <c r="E248" s="7"/>
      <c r="F248" s="7"/>
      <c r="G248" s="276"/>
      <c r="H248" s="276"/>
      <c r="I248" s="276"/>
      <c r="J248" s="240"/>
      <c r="K248" s="7"/>
      <c r="L248" s="7"/>
      <c r="M248" s="7"/>
      <c r="N248" s="7"/>
      <c r="O248" s="7"/>
      <c r="P248" s="7"/>
      <c r="Q248" s="7"/>
      <c r="R248" s="277"/>
      <c r="S248" s="277"/>
      <c r="T248" s="277"/>
      <c r="U248" s="277"/>
      <c r="V248" s="277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</row>
    <row r="249" ht="13.5" customHeight="1">
      <c r="A249" s="29"/>
      <c r="B249" s="435"/>
      <c r="C249" s="451"/>
      <c r="D249" s="268"/>
      <c r="E249" s="7"/>
      <c r="F249" s="277"/>
      <c r="G249" s="276">
        <f>'Nhập Rs thep CV240,300,400 '!J54</f>
        <v>260</v>
      </c>
      <c r="H249" s="276">
        <f>O246</f>
        <v>2213</v>
      </c>
      <c r="I249" s="276"/>
      <c r="J249" s="240"/>
      <c r="K249" s="278">
        <f>G249*H249/(G250*H250*J250)</f>
        <v>0.02623995987</v>
      </c>
      <c r="L249" s="7"/>
      <c r="M249" s="7"/>
      <c r="N249" s="7"/>
      <c r="O249" s="7"/>
      <c r="P249" s="7"/>
      <c r="Q249" s="7"/>
      <c r="R249" s="277"/>
      <c r="S249" s="277"/>
      <c r="T249" s="277"/>
      <c r="U249" s="277"/>
      <c r="V249" s="277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</row>
    <row r="250" ht="13.5" customHeight="1">
      <c r="A250" s="29"/>
      <c r="B250" s="435"/>
      <c r="C250" s="451"/>
      <c r="D250" s="268"/>
      <c r="E250" s="7"/>
      <c r="F250" s="7"/>
      <c r="G250" s="240">
        <f>'Nhập Rs thep CV240,300,400 '!E52</f>
        <v>11.5</v>
      </c>
      <c r="H250" s="71">
        <f>G246</f>
        <v>2900</v>
      </c>
      <c r="I250" s="240"/>
      <c r="J250" s="240">
        <f>N247</f>
        <v>657.5</v>
      </c>
      <c r="K250" s="7"/>
      <c r="L250" s="7"/>
      <c r="M250" s="7"/>
      <c r="N250" s="7"/>
      <c r="O250" s="7"/>
      <c r="P250" s="7"/>
      <c r="Q250" s="7"/>
      <c r="R250" s="277"/>
      <c r="S250" s="277"/>
      <c r="T250" s="277"/>
      <c r="U250" s="277"/>
      <c r="V250" s="277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</row>
    <row r="251" ht="13.5" customHeight="1">
      <c r="A251" s="29"/>
      <c r="B251" s="435"/>
      <c r="C251" s="451"/>
      <c r="D251" s="268"/>
      <c r="E251" s="7"/>
      <c r="F251" s="7"/>
      <c r="G251" s="240"/>
      <c r="H251" s="240"/>
      <c r="I251" s="240"/>
      <c r="J251" s="240"/>
      <c r="K251" s="7"/>
      <c r="L251" s="7"/>
      <c r="M251" s="7"/>
      <c r="N251" s="7"/>
      <c r="O251" s="7"/>
      <c r="P251" s="7"/>
      <c r="Q251" s="7"/>
      <c r="R251" s="277"/>
      <c r="S251" s="277"/>
      <c r="T251" s="277"/>
      <c r="U251" s="277"/>
      <c r="V251" s="277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</row>
    <row r="252" ht="13.5" customHeight="1">
      <c r="A252" s="29"/>
      <c r="B252" s="435"/>
      <c r="C252" s="451"/>
      <c r="D252" s="26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277"/>
      <c r="S252" s="277"/>
      <c r="T252" s="277"/>
      <c r="U252" s="277"/>
      <c r="V252" s="277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</row>
    <row r="253" ht="13.5" customHeight="1">
      <c r="A253" s="29"/>
      <c r="B253" s="435"/>
      <c r="C253" s="451"/>
      <c r="D253" s="268"/>
      <c r="E253" s="7"/>
      <c r="F253" s="272" t="s">
        <v>839</v>
      </c>
      <c r="G253" s="280">
        <f>K249</f>
        <v>0.02623995987</v>
      </c>
      <c r="H253" s="7">
        <f>N247</f>
        <v>657.5</v>
      </c>
      <c r="I253" s="7"/>
      <c r="J253" s="275" t="s">
        <v>40</v>
      </c>
      <c r="K253" s="281">
        <f>G253*H253</f>
        <v>17.25277361</v>
      </c>
      <c r="L253" s="7" t="s">
        <v>21</v>
      </c>
      <c r="M253" s="282" t="str">
        <f>IF(K253&lt;O253,"&lt;","&gt;")</f>
        <v>&lt;</v>
      </c>
      <c r="N253" s="272" t="s">
        <v>840</v>
      </c>
      <c r="O253" s="7">
        <f>'Tính Bản'!M5</f>
        <v>90</v>
      </c>
      <c r="P253" s="7" t="s">
        <v>17</v>
      </c>
      <c r="Q253" s="7"/>
      <c r="R253" s="277"/>
      <c r="S253" s="277"/>
      <c r="T253" s="277"/>
      <c r="U253" s="277"/>
      <c r="V253" s="277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</row>
    <row r="254" ht="13.5" customHeight="1">
      <c r="A254" s="29"/>
      <c r="B254" s="435"/>
      <c r="C254" s="451"/>
      <c r="D254" s="268"/>
      <c r="E254" s="7"/>
      <c r="F254" s="7" t="str">
        <f>IF(M253="&lt;","trục trung hòa đi qua cánh",IF(M253="&gt;","trục trung hoàn đi qua sườn",""))</f>
        <v>trục trung hòa đi qua cánh</v>
      </c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277"/>
      <c r="S254" s="277"/>
      <c r="T254" s="277"/>
      <c r="U254" s="277"/>
      <c r="V254" s="277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</row>
    <row r="255" ht="13.5" customHeight="1">
      <c r="A255" s="29"/>
      <c r="B255" s="435"/>
      <c r="C255" s="451"/>
      <c r="D255" s="268"/>
      <c r="E255" s="7"/>
      <c r="F255" s="7"/>
      <c r="G255" s="283" t="s">
        <v>841</v>
      </c>
      <c r="H255" s="280">
        <f>K249</f>
        <v>0.02623995987</v>
      </c>
      <c r="I255" s="280"/>
      <c r="J255" s="275" t="s">
        <v>40</v>
      </c>
      <c r="K255" s="280">
        <f>1-K249/2</f>
        <v>0.9868800201</v>
      </c>
      <c r="L255" s="7"/>
      <c r="M255" s="7"/>
      <c r="N255" s="7"/>
      <c r="O255" s="7"/>
      <c r="P255" s="7"/>
      <c r="Q255" s="7"/>
      <c r="R255" s="277"/>
      <c r="S255" s="277"/>
      <c r="T255" s="277"/>
      <c r="U255" s="277"/>
      <c r="V255" s="277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</row>
    <row r="256" ht="13.5" customHeight="1">
      <c r="A256" s="29"/>
      <c r="B256" s="435"/>
      <c r="C256" s="451"/>
      <c r="D256" s="268"/>
      <c r="E256" s="7"/>
      <c r="F256" s="284" t="s">
        <v>842</v>
      </c>
      <c r="G256" s="7"/>
      <c r="H256" s="7">
        <f>G249</f>
        <v>260</v>
      </c>
      <c r="I256" s="7"/>
      <c r="J256" s="7">
        <f>H249</f>
        <v>2213</v>
      </c>
      <c r="K256" s="280">
        <f>K255</f>
        <v>0.9868800201</v>
      </c>
      <c r="L256" s="7">
        <f>N247</f>
        <v>657.5</v>
      </c>
      <c r="M256" s="275" t="s">
        <v>40</v>
      </c>
      <c r="N256" s="7">
        <f>H256*J256*K256*L256</f>
        <v>373348899.6</v>
      </c>
      <c r="O256" s="475" t="s">
        <v>843</v>
      </c>
      <c r="P256" s="280">
        <f>N256/1000000</f>
        <v>373.3488996</v>
      </c>
      <c r="Q256" s="7" t="s">
        <v>450</v>
      </c>
      <c r="R256" s="277"/>
      <c r="S256" s="277"/>
      <c r="T256" s="277"/>
      <c r="U256" s="277"/>
      <c r="V256" s="277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</row>
    <row r="257" ht="13.5" customHeight="1">
      <c r="A257" s="29"/>
      <c r="B257" s="435"/>
      <c r="C257" s="451"/>
      <c r="D257" s="285" t="s">
        <v>251</v>
      </c>
      <c r="E257" s="476" t="s">
        <v>844</v>
      </c>
      <c r="F257" s="7"/>
      <c r="G257" s="7"/>
      <c r="H257" s="7"/>
      <c r="I257" s="7"/>
      <c r="J257" s="7" t="s">
        <v>845</v>
      </c>
      <c r="K257" s="240">
        <f>'Tính Bản'!Q16</f>
        <v>300</v>
      </c>
      <c r="L257" s="240">
        <f>'Tính Bản'!N16</f>
        <v>700</v>
      </c>
      <c r="M257" s="7"/>
      <c r="N257" s="7"/>
      <c r="O257" s="7"/>
      <c r="P257" s="7"/>
      <c r="Q257" s="7"/>
      <c r="R257" s="277"/>
      <c r="S257" s="277"/>
      <c r="T257" s="277"/>
      <c r="U257" s="277"/>
      <c r="V257" s="277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</row>
    <row r="258" ht="13.5" customHeight="1">
      <c r="A258" s="29"/>
      <c r="B258" s="435"/>
      <c r="C258" s="451"/>
      <c r="D258" s="268"/>
      <c r="E258" s="7"/>
      <c r="F258" s="276" t="s">
        <v>454</v>
      </c>
      <c r="G258" s="286" t="str">
        <f>G94</f>
        <v>4f25 + 2f28</v>
      </c>
      <c r="H258" s="7" t="s">
        <v>846</v>
      </c>
      <c r="I258" s="7"/>
      <c r="J258" s="71">
        <f>G95</f>
        <v>3195</v>
      </c>
      <c r="K258" s="240" t="s">
        <v>847</v>
      </c>
      <c r="L258" s="7" t="s">
        <v>836</v>
      </c>
      <c r="M258" s="240">
        <v>2.0</v>
      </c>
      <c r="N258" s="240" t="s">
        <v>848</v>
      </c>
      <c r="O258" s="7"/>
      <c r="P258" s="7"/>
      <c r="Q258" s="7"/>
      <c r="R258" s="277"/>
      <c r="S258" s="277"/>
      <c r="T258" s="277"/>
      <c r="U258" s="277"/>
      <c r="V258" s="277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 t="s">
        <v>768</v>
      </c>
    </row>
    <row r="259" ht="13.5" customHeight="1">
      <c r="A259" s="29"/>
      <c r="B259" s="435"/>
      <c r="C259" s="451"/>
      <c r="D259" s="268"/>
      <c r="E259" s="7"/>
      <c r="F259" s="7"/>
      <c r="G259" s="240"/>
      <c r="H259" s="461"/>
      <c r="I259" s="461"/>
      <c r="J259" s="7"/>
      <c r="K259" s="240"/>
      <c r="L259" s="240"/>
      <c r="M259" s="461" t="s">
        <v>849</v>
      </c>
      <c r="N259" s="240" t="s">
        <v>40</v>
      </c>
      <c r="O259" s="7"/>
      <c r="P259" s="231">
        <f>IF(M258=1,T102,IF(M258=2,N111,""))</f>
        <v>623.2534415</v>
      </c>
      <c r="Q259" s="7" t="s">
        <v>17</v>
      </c>
      <c r="R259" s="277"/>
      <c r="S259" s="277"/>
      <c r="T259" s="277"/>
      <c r="U259" s="277"/>
      <c r="V259" s="277"/>
      <c r="W259" s="29"/>
      <c r="X259" s="29"/>
      <c r="Y259" s="29"/>
      <c r="Z259" s="29"/>
      <c r="AA259" s="29"/>
      <c r="AB259" s="29"/>
      <c r="AC259" s="29"/>
      <c r="AD259" s="29" t="s">
        <v>769</v>
      </c>
      <c r="AE259" s="29"/>
      <c r="AF259" s="477">
        <v>28.0</v>
      </c>
      <c r="AG259" s="29"/>
      <c r="AH259" s="29" t="s">
        <v>770</v>
      </c>
      <c r="AI259" s="29"/>
      <c r="AJ259" s="477">
        <v>25.0</v>
      </c>
      <c r="AK259" s="29"/>
      <c r="AL259" s="29">
        <f>MAX(AF259,AJ259,AF260)</f>
        <v>28</v>
      </c>
    </row>
    <row r="260" ht="13.5" customHeight="1">
      <c r="A260" s="29"/>
      <c r="B260" s="435"/>
      <c r="C260" s="451"/>
      <c r="D260" s="268"/>
      <c r="E260" s="7"/>
      <c r="F260" s="7"/>
      <c r="G260" s="276"/>
      <c r="H260" s="276"/>
      <c r="I260" s="276"/>
      <c r="J260" s="240"/>
      <c r="K260" s="7"/>
      <c r="L260" s="7"/>
      <c r="M260" s="7"/>
      <c r="N260" s="7"/>
      <c r="O260" s="7"/>
      <c r="P260" s="7"/>
      <c r="Q260" s="7"/>
      <c r="R260" s="277"/>
      <c r="S260" s="277"/>
      <c r="T260" s="277"/>
      <c r="U260" s="277"/>
      <c r="V260" s="277"/>
      <c r="W260" s="29"/>
      <c r="X260" s="29"/>
      <c r="Y260" s="29"/>
      <c r="Z260" s="29"/>
      <c r="AA260" s="29"/>
      <c r="AB260" s="29"/>
      <c r="AC260" s="29"/>
      <c r="AD260" s="29" t="s">
        <v>771</v>
      </c>
      <c r="AE260" s="29"/>
      <c r="AF260" s="477">
        <v>25.0</v>
      </c>
      <c r="AG260" s="29"/>
      <c r="AH260" s="29"/>
      <c r="AI260" s="29"/>
      <c r="AJ260" s="29"/>
      <c r="AK260" s="29"/>
      <c r="AL260" s="29"/>
    </row>
    <row r="261" ht="13.5" customHeight="1">
      <c r="A261" s="29"/>
      <c r="B261" s="435"/>
      <c r="C261" s="451"/>
      <c r="D261" s="268"/>
      <c r="E261" s="7"/>
      <c r="F261" s="277"/>
      <c r="G261" s="276">
        <f t="shared" ref="G261:G262" si="9">G249</f>
        <v>260</v>
      </c>
      <c r="H261" s="287">
        <f>J258</f>
        <v>3195</v>
      </c>
      <c r="I261" s="287"/>
      <c r="J261" s="240"/>
      <c r="K261" s="278">
        <f>G261*H261/(G262*H262*J262)</f>
        <v>0.3863317756</v>
      </c>
      <c r="L261" s="282" t="str">
        <f>IF(K261&lt;0.65,"&lt;","&gt;")</f>
        <v>&lt;</v>
      </c>
      <c r="M261" s="284" t="s">
        <v>850</v>
      </c>
      <c r="N261" s="7"/>
      <c r="O261" s="7"/>
      <c r="P261" s="7"/>
      <c r="Q261" s="7"/>
      <c r="R261" s="277"/>
      <c r="S261" s="277"/>
      <c r="T261" s="277"/>
      <c r="U261" s="277"/>
      <c r="V261" s="277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</row>
    <row r="262" ht="13.5" customHeight="1">
      <c r="A262" s="29"/>
      <c r="B262" s="435"/>
      <c r="C262" s="451"/>
      <c r="D262" s="268"/>
      <c r="E262" s="7"/>
      <c r="F262" s="7"/>
      <c r="G262" s="240">
        <f t="shared" si="9"/>
        <v>11.5</v>
      </c>
      <c r="H262" s="240">
        <f>K257</f>
        <v>300</v>
      </c>
      <c r="I262" s="240"/>
      <c r="J262" s="71">
        <f>P259</f>
        <v>623.2534415</v>
      </c>
      <c r="K262" s="7"/>
      <c r="L262" s="7"/>
      <c r="M262" s="7"/>
      <c r="N262" s="7"/>
      <c r="O262" s="7"/>
      <c r="P262" s="7"/>
      <c r="Q262" s="7"/>
      <c r="R262" s="277"/>
      <c r="S262" s="277"/>
      <c r="T262" s="277"/>
      <c r="U262" s="277"/>
      <c r="V262" s="277"/>
      <c r="W262" s="29"/>
      <c r="X262" s="29"/>
      <c r="Y262" s="29"/>
      <c r="Z262" s="29"/>
      <c r="AA262" s="29"/>
      <c r="AB262" s="29"/>
      <c r="AC262" s="29"/>
      <c r="AD262" s="29" t="s">
        <v>851</v>
      </c>
      <c r="AE262" s="29" t="s">
        <v>40</v>
      </c>
      <c r="AF262" s="29">
        <f>2*(3.14/4)*(AF259*AF259+AF260*AF260)</f>
        <v>2212.13</v>
      </c>
      <c r="AG262" s="29"/>
      <c r="AH262" s="29" t="s">
        <v>852</v>
      </c>
      <c r="AI262" s="29" t="s">
        <v>40</v>
      </c>
      <c r="AJ262" s="29">
        <f>2*3.14*AJ259*AJ259/4</f>
        <v>981.25</v>
      </c>
      <c r="AK262" s="29"/>
      <c r="AL262" s="29"/>
    </row>
    <row r="263" ht="13.5" customHeight="1">
      <c r="A263" s="29"/>
      <c r="B263" s="435"/>
      <c r="C263" s="451"/>
      <c r="D263" s="268"/>
      <c r="E263" s="7"/>
      <c r="F263" s="7"/>
      <c r="G263" s="240"/>
      <c r="H263" s="240"/>
      <c r="I263" s="240"/>
      <c r="J263" s="240"/>
      <c r="K263" s="7"/>
      <c r="L263" s="7"/>
      <c r="M263" s="7"/>
      <c r="N263" s="7"/>
      <c r="O263" s="7"/>
      <c r="P263" s="7"/>
      <c r="Q263" s="7"/>
      <c r="R263" s="277"/>
      <c r="S263" s="277"/>
      <c r="T263" s="277"/>
      <c r="U263" s="277"/>
      <c r="V263" s="277"/>
      <c r="W263" s="29"/>
      <c r="X263" s="29"/>
      <c r="Y263" s="29"/>
      <c r="Z263" s="29"/>
      <c r="AA263" s="29"/>
      <c r="AB263" s="29"/>
      <c r="AC263" s="29"/>
      <c r="AD263" s="29" t="s">
        <v>774</v>
      </c>
      <c r="AE263" s="29" t="s">
        <v>40</v>
      </c>
      <c r="AF263" s="29">
        <f>H102+K102+0.5*AL259</f>
        <v>60</v>
      </c>
      <c r="AG263" s="29"/>
      <c r="AH263" s="29" t="s">
        <v>775</v>
      </c>
      <c r="AI263" s="29" t="s">
        <v>40</v>
      </c>
      <c r="AJ263" s="29">
        <f>AF263+AL259/2+AL259+AJ259/2</f>
        <v>114.5</v>
      </c>
      <c r="AK263" s="29"/>
      <c r="AL263" s="29"/>
    </row>
    <row r="264" ht="13.5" customHeight="1">
      <c r="A264" s="29"/>
      <c r="B264" s="435"/>
      <c r="C264" s="451"/>
      <c r="D264" s="26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277"/>
      <c r="S264" s="277"/>
      <c r="T264" s="277"/>
      <c r="U264" s="277"/>
      <c r="V264" s="277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</row>
    <row r="265" ht="13.5" customHeight="1">
      <c r="A265" s="29"/>
      <c r="B265" s="435"/>
      <c r="C265" s="451"/>
      <c r="D265" s="268"/>
      <c r="E265" s="7"/>
      <c r="F265" s="7"/>
      <c r="G265" s="283" t="s">
        <v>853</v>
      </c>
      <c r="H265" s="280">
        <f>K261</f>
        <v>0.3863317756</v>
      </c>
      <c r="I265" s="280"/>
      <c r="J265" s="275" t="s">
        <v>40</v>
      </c>
      <c r="K265" s="280">
        <f>1-K261/2</f>
        <v>0.8068341122</v>
      </c>
      <c r="L265" s="7"/>
      <c r="M265" s="7"/>
      <c r="N265" s="7"/>
      <c r="O265" s="7"/>
      <c r="P265" s="7"/>
      <c r="Q265" s="7"/>
      <c r="R265" s="277"/>
      <c r="S265" s="277"/>
      <c r="T265" s="277"/>
      <c r="U265" s="277"/>
      <c r="V265" s="277"/>
      <c r="W265" s="29"/>
      <c r="X265" s="29"/>
      <c r="Y265" s="29"/>
      <c r="Z265" s="29"/>
      <c r="AA265" s="29"/>
      <c r="AB265" s="29"/>
      <c r="AC265" s="29"/>
      <c r="AD265" s="29"/>
      <c r="AE265" s="29" t="s">
        <v>496</v>
      </c>
      <c r="AF265" s="29" t="s">
        <v>40</v>
      </c>
      <c r="AG265" s="29">
        <f>(AF262*AF263+AJ262*AJ263)/(AF262+AJ262)</f>
        <v>76.74655851</v>
      </c>
      <c r="AH265" s="29"/>
      <c r="AI265" s="29"/>
      <c r="AJ265" s="29"/>
      <c r="AK265" s="29"/>
      <c r="AL265" s="29"/>
    </row>
    <row r="266" ht="13.5" customHeight="1">
      <c r="A266" s="29"/>
      <c r="B266" s="435"/>
      <c r="C266" s="451"/>
      <c r="D266" s="268"/>
      <c r="E266" s="7"/>
      <c r="F266" s="284" t="s">
        <v>854</v>
      </c>
      <c r="G266" s="7"/>
      <c r="H266" s="7">
        <f>H256</f>
        <v>260</v>
      </c>
      <c r="I266" s="7"/>
      <c r="J266" s="231">
        <f>J258</f>
        <v>3195</v>
      </c>
      <c r="K266" s="280">
        <f>K265</f>
        <v>0.8068341122</v>
      </c>
      <c r="L266" s="231">
        <f>P259</f>
        <v>623.2534415</v>
      </c>
      <c r="M266" s="275" t="s">
        <v>40</v>
      </c>
      <c r="N266" s="7">
        <f>H266*J266*K266*L266</f>
        <v>417727577.3</v>
      </c>
      <c r="O266" s="240" t="s">
        <v>843</v>
      </c>
      <c r="P266" s="280">
        <f>N266/1000000</f>
        <v>417.7275773</v>
      </c>
      <c r="Q266" s="7" t="s">
        <v>450</v>
      </c>
      <c r="R266" s="277"/>
      <c r="S266" s="277"/>
      <c r="T266" s="277"/>
      <c r="U266" s="277"/>
      <c r="V266" s="277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</row>
    <row r="267" ht="13.5" customHeight="1">
      <c r="A267" s="29"/>
      <c r="B267" s="435"/>
      <c r="C267" s="451"/>
      <c r="D267" s="268"/>
      <c r="E267" s="7" t="s">
        <v>855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277"/>
      <c r="S267" s="277"/>
      <c r="T267" s="277"/>
      <c r="U267" s="277"/>
      <c r="V267" s="277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</row>
    <row r="268" ht="13.5" customHeight="1">
      <c r="A268" s="29"/>
      <c r="B268" s="435"/>
      <c r="C268" s="451"/>
      <c r="D268" s="268"/>
      <c r="E268" s="7" t="s">
        <v>856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277"/>
      <c r="S268" s="277"/>
      <c r="T268" s="277"/>
      <c r="U268" s="277"/>
      <c r="V268" s="277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</row>
    <row r="269" ht="13.5" customHeight="1">
      <c r="A269" s="29"/>
      <c r="B269" s="435"/>
      <c r="C269" s="451"/>
      <c r="D269" s="451"/>
      <c r="E269" s="451"/>
      <c r="F269" s="451"/>
      <c r="G269" s="451"/>
      <c r="H269" s="451"/>
      <c r="I269" s="451"/>
      <c r="J269" s="451"/>
      <c r="K269" s="451"/>
      <c r="L269" s="451"/>
      <c r="M269" s="451"/>
      <c r="N269" s="451"/>
      <c r="O269" s="451"/>
      <c r="P269" s="277"/>
      <c r="Q269" s="277"/>
      <c r="R269" s="277"/>
      <c r="S269" s="277"/>
      <c r="T269" s="277"/>
      <c r="U269" s="277"/>
      <c r="V269" s="277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</row>
    <row r="270" ht="13.5" customHeight="1">
      <c r="A270" s="29"/>
      <c r="B270" s="435"/>
      <c r="C270" s="451"/>
      <c r="D270" s="451"/>
      <c r="E270" s="451"/>
      <c r="F270" s="451"/>
      <c r="G270" s="451"/>
      <c r="H270" s="451"/>
      <c r="I270" s="451"/>
      <c r="J270" s="451"/>
      <c r="K270" s="451"/>
      <c r="L270" s="451"/>
      <c r="M270" s="451"/>
      <c r="N270" s="451"/>
      <c r="O270" s="451"/>
      <c r="P270" s="277"/>
      <c r="Q270" s="277"/>
      <c r="R270" s="277"/>
      <c r="S270" s="277"/>
      <c r="T270" s="277"/>
      <c r="U270" s="277"/>
      <c r="V270" s="277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</row>
    <row r="271" ht="13.5" customHeight="1">
      <c r="A271" s="29"/>
      <c r="B271" s="435"/>
      <c r="C271" s="451"/>
      <c r="D271" s="451"/>
      <c r="E271" s="451"/>
      <c r="F271" s="451"/>
      <c r="G271" s="478" t="s">
        <v>857</v>
      </c>
      <c r="H271" s="479" t="s">
        <v>858</v>
      </c>
      <c r="I271" s="479"/>
      <c r="J271" s="479" t="s">
        <v>859</v>
      </c>
      <c r="K271" s="479" t="s">
        <v>860</v>
      </c>
      <c r="L271" s="480"/>
      <c r="M271" s="480"/>
      <c r="N271" s="479" t="s">
        <v>861</v>
      </c>
      <c r="O271" s="451"/>
      <c r="P271" s="277"/>
      <c r="Q271" s="277"/>
      <c r="R271" s="277"/>
      <c r="S271" s="277"/>
      <c r="T271" s="277"/>
      <c r="U271" s="277"/>
      <c r="V271" s="277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</row>
    <row r="272" ht="13.5" customHeight="1">
      <c r="A272" s="29"/>
      <c r="B272" s="435"/>
      <c r="C272" s="451"/>
      <c r="D272" s="451"/>
      <c r="E272" s="451"/>
      <c r="F272" s="451"/>
      <c r="G272" s="481" t="s">
        <v>862</v>
      </c>
      <c r="H272" s="482" t="str">
        <f>K246</f>
        <v>2f25 + 2f22</v>
      </c>
      <c r="I272" s="482"/>
      <c r="J272" s="483">
        <f>O246/100</f>
        <v>22.13</v>
      </c>
      <c r="K272" s="483">
        <f>N247</f>
        <v>657.5</v>
      </c>
      <c r="L272" s="484">
        <f>K249</f>
        <v>0.02623995987</v>
      </c>
      <c r="M272" s="484">
        <f>K255</f>
        <v>0.9868800201</v>
      </c>
      <c r="N272" s="485">
        <f>P256</f>
        <v>373.3488996</v>
      </c>
      <c r="O272" s="451"/>
      <c r="P272" s="277"/>
      <c r="Q272" s="277"/>
      <c r="R272" s="277"/>
      <c r="S272" s="277"/>
      <c r="T272" s="277"/>
      <c r="U272" s="277"/>
      <c r="V272" s="277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</row>
    <row r="273" ht="13.5" customHeight="1">
      <c r="A273" s="29"/>
      <c r="B273" s="435"/>
      <c r="C273" s="451"/>
      <c r="D273" s="451"/>
      <c r="E273" s="451"/>
      <c r="F273" s="451"/>
      <c r="G273" s="481"/>
      <c r="H273" s="483" t="s">
        <v>863</v>
      </c>
      <c r="I273" s="483">
        <v>22.0</v>
      </c>
      <c r="J273" s="483">
        <v>22.13</v>
      </c>
      <c r="K273" s="483">
        <f>K272</f>
        <v>657.5</v>
      </c>
      <c r="L273" s="484">
        <f>G249*J273*100/(G250*H250*J250)</f>
        <v>0.02623995987</v>
      </c>
      <c r="M273" s="484">
        <f t="shared" ref="M273:M274" si="10">1-L273/2</f>
        <v>0.9868800201</v>
      </c>
      <c r="N273" s="485">
        <f>H256*J273*100*M273*L256/1000000</f>
        <v>373.3488996</v>
      </c>
      <c r="O273" s="451"/>
      <c r="P273" s="277"/>
      <c r="Q273" s="277"/>
      <c r="R273" s="277"/>
      <c r="S273" s="277"/>
      <c r="T273" s="277"/>
      <c r="U273" s="277"/>
      <c r="V273" s="277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</row>
    <row r="274" ht="13.5" customHeight="1">
      <c r="A274" s="29"/>
      <c r="B274" s="435"/>
      <c r="C274" s="451"/>
      <c r="D274" s="451"/>
      <c r="E274" s="451"/>
      <c r="F274" s="451"/>
      <c r="G274" s="486"/>
      <c r="H274" s="483" t="s">
        <v>864</v>
      </c>
      <c r="I274" s="483"/>
      <c r="J274" s="483">
        <v>22.13</v>
      </c>
      <c r="K274" s="483">
        <f>K272</f>
        <v>657.5</v>
      </c>
      <c r="L274" s="483">
        <f>G249*J274*100/(G250*H250*J250)</f>
        <v>0.02623995987</v>
      </c>
      <c r="M274" s="483">
        <f t="shared" si="10"/>
        <v>0.9868800201</v>
      </c>
      <c r="N274" s="485">
        <f>H256*J274*100*M274*L256/1000000</f>
        <v>373.3488996</v>
      </c>
      <c r="O274" s="451"/>
      <c r="P274" s="277"/>
      <c r="Q274" s="277"/>
      <c r="R274" s="277"/>
      <c r="S274" s="277"/>
      <c r="T274" s="277"/>
      <c r="U274" s="277"/>
      <c r="V274" s="277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</row>
    <row r="275" ht="13.5" customHeight="1">
      <c r="A275" s="29"/>
      <c r="B275" s="435"/>
      <c r="C275" s="451"/>
      <c r="D275" s="451"/>
      <c r="E275" s="451"/>
      <c r="F275" s="451"/>
      <c r="G275" s="481" t="s">
        <v>865</v>
      </c>
      <c r="H275" s="482" t="str">
        <f>G258</f>
        <v>4f25 + 2f28</v>
      </c>
      <c r="I275" s="482"/>
      <c r="J275" s="483">
        <f>J258/100</f>
        <v>31.95</v>
      </c>
      <c r="K275" s="487">
        <f>P259</f>
        <v>623.2534415</v>
      </c>
      <c r="L275" s="484">
        <f>K261</f>
        <v>0.3863317756</v>
      </c>
      <c r="M275" s="484">
        <f>K265</f>
        <v>0.8068341122</v>
      </c>
      <c r="N275" s="485">
        <f>P266</f>
        <v>417.7275773</v>
      </c>
      <c r="O275" s="451"/>
      <c r="P275" s="277"/>
      <c r="Q275" s="277"/>
      <c r="R275" s="277"/>
      <c r="S275" s="277"/>
      <c r="T275" s="277"/>
      <c r="U275" s="277"/>
      <c r="V275" s="277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</row>
    <row r="276" ht="13.5" customHeight="1">
      <c r="A276" s="29"/>
      <c r="B276" s="435"/>
      <c r="C276" s="451"/>
      <c r="D276" s="451"/>
      <c r="E276" s="451"/>
      <c r="F276" s="451"/>
      <c r="G276" s="481"/>
      <c r="H276" s="483" t="s">
        <v>866</v>
      </c>
      <c r="I276" s="483">
        <v>25.0</v>
      </c>
      <c r="J276" s="483">
        <v>31.95</v>
      </c>
      <c r="K276" s="487">
        <f t="shared" ref="K276:K277" si="11">K275</f>
        <v>623.2534415</v>
      </c>
      <c r="L276" s="483">
        <f>G261*J276*100/(G262*H262*J262)</f>
        <v>0.3863317756</v>
      </c>
      <c r="M276" s="483">
        <f t="shared" ref="M276:M281" si="12">1-L276/2</f>
        <v>0.8068341122</v>
      </c>
      <c r="N276" s="485">
        <f>H266*J276*100*M276*L266/1000000</f>
        <v>417.7275773</v>
      </c>
      <c r="O276" s="451"/>
      <c r="P276" s="277"/>
      <c r="Q276" s="277"/>
      <c r="R276" s="277"/>
      <c r="S276" s="277"/>
      <c r="T276" s="277"/>
      <c r="U276" s="277"/>
      <c r="V276" s="277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</row>
    <row r="277" ht="13.5" customHeight="1">
      <c r="A277" s="29"/>
      <c r="B277" s="435"/>
      <c r="C277" s="451"/>
      <c r="D277" s="451"/>
      <c r="E277" s="451"/>
      <c r="F277" s="451"/>
      <c r="G277" s="486"/>
      <c r="H277" s="483" t="s">
        <v>867</v>
      </c>
      <c r="I277" s="483"/>
      <c r="J277" s="483">
        <v>31.95</v>
      </c>
      <c r="K277" s="487">
        <f t="shared" si="11"/>
        <v>623.2534415</v>
      </c>
      <c r="L277" s="483">
        <f>G261*J277*100/(G262*H262*J262)</f>
        <v>0.3863317756</v>
      </c>
      <c r="M277" s="483">
        <f t="shared" si="12"/>
        <v>0.8068341122</v>
      </c>
      <c r="N277" s="485">
        <f>H266*J277*100*M277*L266/1000000</f>
        <v>417.7275773</v>
      </c>
      <c r="O277" s="451"/>
      <c r="P277" s="277"/>
      <c r="Q277" s="277"/>
      <c r="R277" s="277"/>
      <c r="S277" s="277"/>
      <c r="T277" s="277"/>
      <c r="U277" s="277"/>
      <c r="V277" s="277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</row>
    <row r="278" ht="13.5" customHeight="1">
      <c r="A278" s="29"/>
      <c r="B278" s="435"/>
      <c r="C278" s="451"/>
      <c r="D278" s="451"/>
      <c r="E278" s="451"/>
      <c r="F278" s="451"/>
      <c r="G278" s="481" t="s">
        <v>868</v>
      </c>
      <c r="H278" s="482" t="str">
        <f>H94</f>
        <v>2f16 + 1f16</v>
      </c>
      <c r="I278" s="482"/>
      <c r="J278" s="483">
        <f>H95/100</f>
        <v>6.03</v>
      </c>
      <c r="K278" s="483">
        <f>K274</f>
        <v>657.5</v>
      </c>
      <c r="L278" s="483">
        <f>G249*J278*100/(G250*H250*J250)</f>
        <v>0.007149885133</v>
      </c>
      <c r="M278" s="483">
        <f t="shared" si="12"/>
        <v>0.9964250574</v>
      </c>
      <c r="N278" s="485">
        <f>H256*J278*100*M278*L256/1000000</f>
        <v>102.7143347</v>
      </c>
      <c r="O278" s="451"/>
      <c r="P278" s="277"/>
      <c r="Q278" s="277"/>
      <c r="R278" s="277"/>
      <c r="S278" s="277"/>
      <c r="T278" s="277"/>
      <c r="U278" s="277"/>
      <c r="V278" s="277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</row>
    <row r="279" ht="13.5" customHeight="1">
      <c r="A279" s="29"/>
      <c r="B279" s="435"/>
      <c r="C279" s="451"/>
      <c r="D279" s="451"/>
      <c r="E279" s="451"/>
      <c r="F279" s="451"/>
      <c r="G279" s="486"/>
      <c r="H279" s="483" t="s">
        <v>869</v>
      </c>
      <c r="I279" s="483">
        <v>16.0</v>
      </c>
      <c r="J279" s="483">
        <v>22.13</v>
      </c>
      <c r="K279" s="483">
        <f>K278</f>
        <v>657.5</v>
      </c>
      <c r="L279" s="483">
        <f>G249*J279*100/(G250*H250*J250)</f>
        <v>0.02623995987</v>
      </c>
      <c r="M279" s="483">
        <f t="shared" si="12"/>
        <v>0.9868800201</v>
      </c>
      <c r="N279" s="485">
        <f>H256*J279*100*M279*L256/1000000</f>
        <v>373.3488996</v>
      </c>
      <c r="O279" s="451"/>
      <c r="P279" s="277"/>
      <c r="Q279" s="277"/>
      <c r="R279" s="277"/>
      <c r="S279" s="277"/>
      <c r="T279" s="277"/>
      <c r="U279" s="277"/>
      <c r="V279" s="277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</row>
    <row r="280" ht="42.0" customHeight="1">
      <c r="A280" s="29"/>
      <c r="B280" s="435"/>
      <c r="C280" s="451"/>
      <c r="D280" s="451"/>
      <c r="E280" s="451"/>
      <c r="F280" s="451"/>
      <c r="G280" s="481" t="s">
        <v>870</v>
      </c>
      <c r="H280" s="482" t="str">
        <f>J94</f>
        <v>2f16 + 1f18</v>
      </c>
      <c r="I280" s="482"/>
      <c r="J280" s="483">
        <f>J95/100</f>
        <v>6.57</v>
      </c>
      <c r="K280" s="487">
        <f>T102</f>
        <v>640</v>
      </c>
      <c r="L280" s="483">
        <f>G261*J280*100/(G262*H262*J262)</f>
        <v>0.07944287216</v>
      </c>
      <c r="M280" s="483">
        <f t="shared" si="12"/>
        <v>0.9602785639</v>
      </c>
      <c r="N280" s="485">
        <f>H266*J280*100*M280*L266/1000000</f>
        <v>102.2352438</v>
      </c>
      <c r="O280" s="451"/>
      <c r="P280" s="277"/>
      <c r="Q280" s="277"/>
      <c r="R280" s="277"/>
      <c r="S280" s="277"/>
      <c r="T280" s="277"/>
      <c r="U280" s="277"/>
      <c r="V280" s="277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</row>
    <row r="281" ht="13.5" customHeight="1">
      <c r="A281" s="29"/>
      <c r="B281" s="435"/>
      <c r="C281" s="451"/>
      <c r="D281" s="451"/>
      <c r="E281" s="451"/>
      <c r="F281" s="451"/>
      <c r="G281" s="486"/>
      <c r="H281" s="483" t="s">
        <v>871</v>
      </c>
      <c r="I281" s="483">
        <v>18.0</v>
      </c>
      <c r="J281" s="483">
        <v>31.95</v>
      </c>
      <c r="K281" s="487">
        <f>K280</f>
        <v>640</v>
      </c>
      <c r="L281" s="483">
        <f>G261*J281*100/(G262*H262*J262)</f>
        <v>0.3863317756</v>
      </c>
      <c r="M281" s="483">
        <f t="shared" si="12"/>
        <v>0.8068341122</v>
      </c>
      <c r="N281" s="485">
        <f>H266*J281*100*M281*L266/1000000</f>
        <v>417.7275773</v>
      </c>
      <c r="O281" s="451"/>
      <c r="P281" s="277"/>
      <c r="Q281" s="277"/>
      <c r="R281" s="277"/>
      <c r="S281" s="277"/>
      <c r="T281" s="277"/>
      <c r="U281" s="277"/>
      <c r="V281" s="277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</row>
    <row r="282" ht="13.5" customHeight="1">
      <c r="A282" s="29"/>
      <c r="B282" s="435"/>
      <c r="C282" s="451"/>
      <c r="D282" s="451"/>
      <c r="E282" s="451"/>
      <c r="F282" s="451"/>
      <c r="G282" s="451"/>
      <c r="H282" s="451"/>
      <c r="I282" s="451"/>
      <c r="J282" s="451"/>
      <c r="K282" s="451"/>
      <c r="L282" s="451"/>
      <c r="M282" s="451"/>
      <c r="N282" s="451"/>
      <c r="O282" s="451"/>
      <c r="P282" s="277"/>
      <c r="Q282" s="277"/>
      <c r="R282" s="277"/>
      <c r="S282" s="277"/>
      <c r="T282" s="277"/>
      <c r="U282" s="277"/>
      <c r="V282" s="277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</row>
    <row r="283" ht="13.5" customHeight="1">
      <c r="A283" s="29"/>
      <c r="B283" s="435"/>
      <c r="C283" s="451"/>
      <c r="D283" s="451"/>
      <c r="E283" s="451"/>
      <c r="F283" s="451" t="s">
        <v>872</v>
      </c>
      <c r="G283" s="451"/>
      <c r="H283" s="451"/>
      <c r="I283" s="451"/>
      <c r="J283" s="451"/>
      <c r="K283" s="451"/>
      <c r="L283" s="451"/>
      <c r="M283" s="451"/>
      <c r="N283" s="451"/>
      <c r="O283" s="451"/>
      <c r="P283" s="277"/>
      <c r="Q283" s="277"/>
      <c r="R283" s="277"/>
      <c r="S283" s="277"/>
      <c r="T283" s="277"/>
      <c r="U283" s="277"/>
      <c r="V283" s="277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</row>
    <row r="284" ht="13.5" customHeight="1">
      <c r="A284" s="29"/>
      <c r="B284" s="435"/>
      <c r="C284" s="451"/>
      <c r="D284" s="451"/>
      <c r="E284" s="451"/>
      <c r="F284" s="451" t="s">
        <v>873</v>
      </c>
      <c r="G284" s="451"/>
      <c r="H284" s="451"/>
      <c r="I284" s="451"/>
      <c r="J284" s="451"/>
      <c r="K284" s="451"/>
      <c r="L284" s="451"/>
      <c r="M284" s="451"/>
      <c r="N284" s="451"/>
      <c r="O284" s="451"/>
      <c r="P284" s="277"/>
      <c r="Q284" s="277"/>
      <c r="R284" s="277"/>
      <c r="S284" s="277"/>
      <c r="T284" s="277"/>
      <c r="U284" s="277"/>
      <c r="V284" s="277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</row>
    <row r="285" ht="13.5" customHeight="1">
      <c r="A285" s="29"/>
      <c r="B285" s="435"/>
      <c r="C285" s="451"/>
      <c r="D285" s="451"/>
      <c r="E285" s="451"/>
      <c r="F285" s="451" t="s">
        <v>874</v>
      </c>
      <c r="G285" s="451"/>
      <c r="H285" s="451"/>
      <c r="I285" s="451"/>
      <c r="J285" s="451"/>
      <c r="K285" s="451"/>
      <c r="L285" s="451"/>
      <c r="M285" s="451"/>
      <c r="N285" s="451"/>
      <c r="O285" s="451"/>
      <c r="P285" s="277"/>
      <c r="Q285" s="277"/>
      <c r="R285" s="277"/>
      <c r="S285" s="277"/>
      <c r="T285" s="277"/>
      <c r="U285" s="277"/>
      <c r="V285" s="277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</row>
    <row r="286" ht="13.5" customHeight="1">
      <c r="A286" s="29"/>
      <c r="B286" s="435"/>
      <c r="C286" s="451"/>
      <c r="D286" s="451"/>
      <c r="E286" s="451"/>
      <c r="F286" s="451"/>
      <c r="G286" s="451"/>
      <c r="H286" s="451"/>
      <c r="I286" s="451"/>
      <c r="J286" s="451"/>
      <c r="K286" s="451"/>
      <c r="L286" s="451"/>
      <c r="M286" s="451"/>
      <c r="N286" s="451"/>
      <c r="O286" s="451"/>
      <c r="P286" s="277"/>
      <c r="Q286" s="277"/>
      <c r="R286" s="277"/>
      <c r="S286" s="277"/>
      <c r="T286" s="277"/>
      <c r="U286" s="277"/>
      <c r="V286" s="277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</row>
    <row r="287" ht="13.5" customHeight="1">
      <c r="A287" s="29"/>
      <c r="B287" s="435"/>
      <c r="C287" s="451"/>
      <c r="D287" s="451"/>
      <c r="E287" s="451"/>
      <c r="F287" s="451"/>
      <c r="G287" s="451" t="s">
        <v>875</v>
      </c>
      <c r="H287" s="451"/>
      <c r="I287" s="451"/>
      <c r="J287" s="451"/>
      <c r="K287" s="451"/>
      <c r="L287" s="451"/>
      <c r="M287" s="451"/>
      <c r="N287" s="451"/>
      <c r="O287" s="451"/>
      <c r="P287" s="277"/>
      <c r="Q287" s="277"/>
      <c r="R287" s="277"/>
      <c r="S287" s="277"/>
      <c r="T287" s="277"/>
      <c r="U287" s="277"/>
      <c r="V287" s="277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</row>
    <row r="288" ht="13.5" customHeight="1">
      <c r="A288" s="29"/>
      <c r="B288" s="435"/>
      <c r="C288" s="451"/>
      <c r="D288" s="451"/>
      <c r="E288" s="451"/>
      <c r="F288" s="451"/>
      <c r="G288" s="451"/>
      <c r="H288" s="451" t="s">
        <v>876</v>
      </c>
      <c r="I288" s="451"/>
      <c r="J288" s="451">
        <f>ABS(IF('Tính dầm chính'!G3=4,'Tính dầm chính'!H97,IF('Tính dầm chính'!G3=3,'Tính dầm chính'!H77,"")))</f>
        <v>439.7383299</v>
      </c>
      <c r="K288" s="451" t="s">
        <v>24</v>
      </c>
      <c r="L288" s="451">
        <f>ABS(IF('Tính dầm chính'!G3=4,'Tính dầm chính'!G97,IF('Tính dầm chính'!G3=3,'Tính dầm chính'!G77,"")))</f>
        <v>19.80990554</v>
      </c>
      <c r="M288" s="451" t="s">
        <v>877</v>
      </c>
      <c r="N288" s="451">
        <f>'Nhập dữ liệu'!B13</f>
        <v>2.6</v>
      </c>
      <c r="O288" s="451" t="s">
        <v>40</v>
      </c>
      <c r="P288" s="455">
        <f>(J288+L288)/N288</f>
        <v>176.7493213</v>
      </c>
      <c r="Q288" s="455" t="s">
        <v>264</v>
      </c>
      <c r="R288" s="277"/>
      <c r="S288" s="277"/>
      <c r="T288" s="277"/>
      <c r="U288" s="277"/>
      <c r="V288" s="277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</row>
    <row r="289" ht="13.5" customHeight="1">
      <c r="A289" s="29"/>
      <c r="B289" s="435"/>
      <c r="C289" s="451"/>
      <c r="D289" s="451"/>
      <c r="E289" s="451"/>
      <c r="F289" s="451"/>
      <c r="G289" s="451" t="s">
        <v>878</v>
      </c>
      <c r="H289" s="451"/>
      <c r="I289" s="451"/>
      <c r="J289" s="451"/>
      <c r="K289" s="451"/>
      <c r="L289" s="451"/>
      <c r="M289" s="451">
        <f>M174</f>
        <v>150</v>
      </c>
      <c r="N289" s="451" t="s">
        <v>21</v>
      </c>
      <c r="O289" s="451"/>
      <c r="P289" s="277"/>
      <c r="Q289" s="277"/>
      <c r="R289" s="277"/>
      <c r="S289" s="277"/>
      <c r="T289" s="277"/>
      <c r="U289" s="277"/>
      <c r="V289" s="277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</row>
    <row r="290" ht="13.5" customHeight="1">
      <c r="A290" s="29"/>
      <c r="B290" s="435"/>
      <c r="C290" s="451"/>
      <c r="D290" s="451"/>
      <c r="E290" s="451"/>
      <c r="F290" s="451"/>
      <c r="G290" s="451"/>
      <c r="H290" s="451"/>
      <c r="I290" s="451"/>
      <c r="J290" s="451"/>
      <c r="K290" s="451"/>
      <c r="L290" s="451"/>
      <c r="M290" s="451"/>
      <c r="N290" s="451"/>
      <c r="O290" s="451"/>
      <c r="P290" s="277"/>
      <c r="Q290" s="277"/>
      <c r="R290" s="277"/>
      <c r="S290" s="277"/>
      <c r="T290" s="277"/>
      <c r="U290" s="277"/>
      <c r="V290" s="277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</row>
    <row r="291" ht="13.5" customHeight="1">
      <c r="A291" s="29"/>
      <c r="B291" s="435"/>
      <c r="C291" s="451"/>
      <c r="D291" s="451"/>
      <c r="E291" s="451"/>
      <c r="F291" s="451"/>
      <c r="G291" s="451"/>
      <c r="H291" s="277"/>
      <c r="I291" s="277"/>
      <c r="J291" s="451"/>
      <c r="K291" s="451">
        <f>175*100.6/M289</f>
        <v>117.3666667</v>
      </c>
      <c r="L291" s="451" t="s">
        <v>21</v>
      </c>
      <c r="M291" s="451"/>
      <c r="N291" s="451"/>
      <c r="O291" s="451"/>
      <c r="P291" s="277"/>
      <c r="Q291" s="277"/>
      <c r="R291" s="277"/>
      <c r="S291" s="277"/>
      <c r="T291" s="277"/>
      <c r="U291" s="277"/>
      <c r="V291" s="277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</row>
    <row r="292" ht="13.5" customHeight="1">
      <c r="A292" s="29"/>
      <c r="B292" s="435"/>
      <c r="C292" s="451"/>
      <c r="D292" s="451"/>
      <c r="E292" s="451"/>
      <c r="F292" s="451"/>
      <c r="G292" s="451"/>
      <c r="H292" s="451"/>
      <c r="I292" s="451"/>
      <c r="J292" s="451"/>
      <c r="K292" s="451"/>
      <c r="L292" s="451"/>
      <c r="M292" s="451"/>
      <c r="N292" s="451"/>
      <c r="O292" s="451"/>
      <c r="P292" s="277"/>
      <c r="Q292" s="277"/>
      <c r="R292" s="277"/>
      <c r="S292" s="277"/>
      <c r="T292" s="277"/>
      <c r="U292" s="277"/>
      <c r="V292" s="277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</row>
    <row r="293" ht="13.5" customHeight="1">
      <c r="A293" s="29"/>
      <c r="B293" s="435"/>
      <c r="C293" s="451"/>
      <c r="D293" s="451"/>
      <c r="E293" s="451"/>
      <c r="F293" s="451"/>
      <c r="G293" s="451"/>
      <c r="H293" s="451"/>
      <c r="I293" s="451"/>
      <c r="J293" s="451"/>
      <c r="K293" s="451"/>
      <c r="L293" s="451"/>
      <c r="M293" s="451"/>
      <c r="N293" s="451"/>
      <c r="O293" s="451"/>
      <c r="P293" s="277"/>
      <c r="Q293" s="277"/>
      <c r="R293" s="277"/>
      <c r="S293" s="277"/>
      <c r="T293" s="277"/>
      <c r="U293" s="277"/>
      <c r="V293" s="277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</row>
    <row r="294" ht="13.5" customHeight="1">
      <c r="A294" s="29"/>
      <c r="B294" s="435"/>
      <c r="C294" s="451"/>
      <c r="D294" s="451"/>
      <c r="E294" s="451"/>
      <c r="F294" s="451"/>
      <c r="G294" s="451"/>
      <c r="H294" s="277"/>
      <c r="I294" s="277"/>
      <c r="J294" s="451"/>
      <c r="K294" s="451" t="s">
        <v>40</v>
      </c>
      <c r="L294" s="451">
        <f>P288/(2*K291)+5*I276/1000</f>
        <v>0.8779792161</v>
      </c>
      <c r="M294" s="451" t="s">
        <v>761</v>
      </c>
      <c r="N294" s="277"/>
      <c r="O294" s="451"/>
      <c r="P294" s="277"/>
      <c r="Q294" s="277"/>
      <c r="R294" s="277"/>
      <c r="S294" s="277"/>
      <c r="T294" s="277"/>
      <c r="U294" s="277"/>
      <c r="V294" s="277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</row>
    <row r="295" ht="13.5" customHeight="1">
      <c r="A295" s="29"/>
      <c r="B295" s="435"/>
      <c r="C295" s="451"/>
      <c r="D295" s="451"/>
      <c r="E295" s="451"/>
      <c r="F295" s="451"/>
      <c r="G295" s="451"/>
      <c r="H295" s="451"/>
      <c r="I295" s="451"/>
      <c r="J295" s="451"/>
      <c r="K295" s="451"/>
      <c r="L295" s="451"/>
      <c r="M295" s="451"/>
      <c r="N295" s="451"/>
      <c r="O295" s="451"/>
      <c r="P295" s="277"/>
      <c r="Q295" s="277"/>
      <c r="R295" s="277"/>
      <c r="S295" s="277"/>
      <c r="T295" s="277"/>
      <c r="U295" s="277"/>
      <c r="V295" s="277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</row>
    <row r="296" ht="13.5" customHeight="1">
      <c r="A296" s="29"/>
      <c r="B296" s="435"/>
      <c r="C296" s="451"/>
      <c r="D296" s="451"/>
      <c r="E296" s="451"/>
      <c r="F296" s="451"/>
      <c r="G296" s="451"/>
      <c r="H296" s="451" t="s">
        <v>879</v>
      </c>
      <c r="I296" s="451"/>
      <c r="J296" s="451"/>
      <c r="K296" s="488">
        <f>L294*1000</f>
        <v>877.9792161</v>
      </c>
      <c r="L296" s="451" t="s">
        <v>21</v>
      </c>
      <c r="M296" s="451"/>
      <c r="N296" s="451"/>
      <c r="O296" s="451"/>
      <c r="P296" s="277"/>
      <c r="Q296" s="277"/>
      <c r="R296" s="277"/>
      <c r="S296" s="277"/>
      <c r="T296" s="277"/>
      <c r="U296" s="277"/>
      <c r="V296" s="277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</row>
    <row r="297" ht="13.5" customHeight="1">
      <c r="A297" s="29"/>
      <c r="B297" s="435"/>
      <c r="C297" s="451"/>
      <c r="D297" s="451"/>
      <c r="E297" s="451"/>
      <c r="F297" s="451"/>
      <c r="G297" s="451"/>
      <c r="H297" s="451"/>
      <c r="I297" s="451"/>
      <c r="J297" s="451"/>
      <c r="K297" s="451"/>
      <c r="L297" s="451"/>
      <c r="M297" s="451"/>
      <c r="N297" s="451"/>
      <c r="O297" s="451"/>
      <c r="P297" s="277"/>
      <c r="Q297" s="277"/>
      <c r="R297" s="277"/>
      <c r="S297" s="277"/>
      <c r="T297" s="277"/>
      <c r="U297" s="277"/>
      <c r="V297" s="277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</row>
    <row r="298" ht="13.5" customHeight="1">
      <c r="A298" s="29"/>
      <c r="B298" s="435"/>
      <c r="C298" s="451"/>
      <c r="D298" s="451"/>
      <c r="E298" s="451"/>
      <c r="F298" s="451"/>
      <c r="G298" s="451"/>
      <c r="H298" s="451" t="s">
        <v>880</v>
      </c>
      <c r="I298" s="451"/>
      <c r="J298" s="451"/>
      <c r="K298" s="451"/>
      <c r="L298" s="451"/>
      <c r="M298" s="451" t="s">
        <v>881</v>
      </c>
      <c r="N298" s="451"/>
      <c r="O298" s="451"/>
      <c r="P298" s="277"/>
      <c r="Q298" s="277"/>
      <c r="R298" s="277"/>
      <c r="S298" s="277"/>
      <c r="T298" s="277"/>
      <c r="U298" s="277"/>
      <c r="V298" s="277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</row>
    <row r="299" ht="13.5" customHeight="1">
      <c r="A299" s="29"/>
      <c r="B299" s="435"/>
      <c r="C299" s="451"/>
      <c r="D299" s="451"/>
      <c r="E299" s="451"/>
      <c r="F299" s="451"/>
      <c r="G299" s="489" t="s">
        <v>882</v>
      </c>
      <c r="H299" s="490" t="s">
        <v>883</v>
      </c>
      <c r="I299" s="491"/>
      <c r="J299" s="491" t="s">
        <v>884</v>
      </c>
      <c r="K299" s="451"/>
      <c r="L299" s="492" t="s">
        <v>882</v>
      </c>
      <c r="M299" s="493"/>
      <c r="N299" s="490" t="s">
        <v>883</v>
      </c>
      <c r="O299" s="491" t="s">
        <v>884</v>
      </c>
      <c r="P299" s="277"/>
      <c r="Q299" s="277"/>
      <c r="R299" s="277"/>
      <c r="S299" s="277"/>
      <c r="T299" s="277"/>
      <c r="U299" s="277"/>
      <c r="V299" s="277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</row>
    <row r="300" ht="13.5" customHeight="1">
      <c r="A300" s="29"/>
      <c r="B300" s="435"/>
      <c r="C300" s="451"/>
      <c r="D300" s="451"/>
      <c r="E300" s="451"/>
      <c r="F300" s="451"/>
      <c r="G300" s="494" t="s">
        <v>885</v>
      </c>
      <c r="H300" s="495">
        <f>(0+'Tính dầm chính'!F76)/N288</f>
        <v>0</v>
      </c>
      <c r="I300" s="496"/>
      <c r="J300" s="497">
        <f>(H300/K291/2)*1000+5*I273</f>
        <v>110</v>
      </c>
      <c r="K300" s="451"/>
      <c r="L300" s="498" t="s">
        <v>885</v>
      </c>
      <c r="M300" s="493"/>
      <c r="N300" s="499">
        <f>'Tính dầm chính'!F96/N288</f>
        <v>146.428745</v>
      </c>
      <c r="O300" s="500">
        <f>(N300/2/K291)*1000+5*I273</f>
        <v>733.808911</v>
      </c>
      <c r="P300" s="277"/>
      <c r="Q300" s="277"/>
      <c r="R300" s="277"/>
      <c r="S300" s="277"/>
      <c r="T300" s="277"/>
      <c r="U300" s="277"/>
      <c r="V300" s="277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</row>
    <row r="301" ht="13.5" customHeight="1">
      <c r="A301" s="29"/>
      <c r="B301" s="435"/>
      <c r="C301" s="451"/>
      <c r="D301" s="451"/>
      <c r="E301" s="451"/>
      <c r="F301" s="451"/>
      <c r="G301" s="494" t="s">
        <v>886</v>
      </c>
      <c r="H301" s="495">
        <f>('Tính dầm chính'!G76-'Tính dầm chính'!H76)/N288</f>
        <v>0</v>
      </c>
      <c r="I301" s="496"/>
      <c r="J301" s="497">
        <f>(H301/2/K291)*1000+5*I273</f>
        <v>110</v>
      </c>
      <c r="K301" s="451"/>
      <c r="L301" s="498" t="s">
        <v>886</v>
      </c>
      <c r="M301" s="493"/>
      <c r="N301" s="499">
        <f>('Tính dầm chính'!G96-'Tính dầm chính'!H96)/N288</f>
        <v>169.5215293</v>
      </c>
      <c r="O301" s="500">
        <f>(N301/2/K291)*1000+5*I273</f>
        <v>832.1877137</v>
      </c>
      <c r="P301" s="277"/>
      <c r="Q301" s="277"/>
      <c r="R301" s="277"/>
      <c r="S301" s="277"/>
      <c r="T301" s="277"/>
      <c r="U301" s="277"/>
      <c r="V301" s="277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</row>
    <row r="302" ht="13.5" customHeight="1">
      <c r="A302" s="29"/>
      <c r="B302" s="435"/>
      <c r="C302" s="451"/>
      <c r="D302" s="451"/>
      <c r="E302" s="451"/>
      <c r="F302" s="451"/>
      <c r="G302" s="494" t="s">
        <v>887</v>
      </c>
      <c r="H302" s="495">
        <f>('Tính dầm chính'!G77-'Tính dầm chính'!H77)/N288</f>
        <v>0</v>
      </c>
      <c r="I302" s="496"/>
      <c r="J302" s="497">
        <f>(H302/2/K291)*1000+5*I276</f>
        <v>125</v>
      </c>
      <c r="K302" s="451"/>
      <c r="L302" s="498" t="s">
        <v>887</v>
      </c>
      <c r="M302" s="493"/>
      <c r="N302" s="499">
        <f>('Tính dầm chính'!G97-'Tính dầm chính'!H97)/N288</f>
        <v>176.7493213</v>
      </c>
      <c r="O302" s="500">
        <f>(N302/2/K291)*1000+5*I276</f>
        <v>877.9792161</v>
      </c>
      <c r="P302" s="277"/>
      <c r="Q302" s="277"/>
      <c r="R302" s="277"/>
      <c r="S302" s="277"/>
      <c r="T302" s="277"/>
      <c r="U302" s="277"/>
      <c r="V302" s="277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</row>
    <row r="303" ht="13.5" customHeight="1">
      <c r="A303" s="29"/>
      <c r="B303" s="435"/>
      <c r="C303" s="451"/>
      <c r="D303" s="451"/>
      <c r="E303" s="451"/>
      <c r="F303" s="451"/>
      <c r="G303" s="494" t="s">
        <v>888</v>
      </c>
      <c r="H303" s="495">
        <f>(-'Tính dầm chính'!H77+'Tính dầm chính'!I77)/N288</f>
        <v>0</v>
      </c>
      <c r="I303" s="496"/>
      <c r="J303" s="497">
        <f>(H303/2/K291)*1000+5*I276</f>
        <v>125</v>
      </c>
      <c r="K303" s="451"/>
      <c r="L303" s="498" t="s">
        <v>888</v>
      </c>
      <c r="M303" s="493"/>
      <c r="N303" s="499">
        <f>(-'Tính dầm chính'!H97+'Tính dầm chính'!I97)/N288</f>
        <v>150.8977962</v>
      </c>
      <c r="O303" s="500">
        <f>(N303/2/K291)*1000+5*I276</f>
        <v>767.8477543</v>
      </c>
      <c r="P303" s="277"/>
      <c r="Q303" s="277"/>
      <c r="R303" s="277"/>
      <c r="S303" s="277"/>
      <c r="T303" s="277"/>
      <c r="U303" s="277"/>
      <c r="V303" s="277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</row>
    <row r="304" ht="13.5" customHeight="1">
      <c r="A304" s="29"/>
      <c r="B304" s="435"/>
      <c r="C304" s="451"/>
      <c r="D304" s="451"/>
      <c r="E304" s="451"/>
      <c r="F304" s="451"/>
      <c r="G304" s="494" t="s">
        <v>889</v>
      </c>
      <c r="H304" s="495">
        <f>('Tính dầm chính'!I76-'Tính dầm chính'!H76)/'TINH Q DAM CHINH'!N288</f>
        <v>0</v>
      </c>
      <c r="I304" s="496"/>
      <c r="J304" s="497">
        <f>(H304/2/K291)*1000+5*I279</f>
        <v>80</v>
      </c>
      <c r="K304" s="451"/>
      <c r="L304" s="498" t="s">
        <v>889</v>
      </c>
      <c r="M304" s="493"/>
      <c r="N304" s="499">
        <f>(-'Tính dầm chính'!H96+'Tính dầm chính'!I96)/N288</f>
        <v>143.6700042</v>
      </c>
      <c r="O304" s="500">
        <f>(N304/2/K291)*1000+5*I279</f>
        <v>692.0562519</v>
      </c>
      <c r="P304" s="277"/>
      <c r="Q304" s="277"/>
      <c r="R304" s="277"/>
      <c r="S304" s="277"/>
      <c r="T304" s="277"/>
      <c r="U304" s="277"/>
      <c r="V304" s="277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</row>
    <row r="305" ht="13.5" customHeight="1">
      <c r="A305" s="29"/>
      <c r="B305" s="435"/>
      <c r="C305" s="451"/>
      <c r="D305" s="451"/>
      <c r="E305" s="451"/>
      <c r="F305" s="451"/>
      <c r="G305" s="494"/>
      <c r="H305" s="501"/>
      <c r="I305" s="502"/>
      <c r="J305" s="502"/>
      <c r="K305" s="451"/>
      <c r="L305" s="498" t="s">
        <v>890</v>
      </c>
      <c r="M305" s="493"/>
      <c r="N305" s="499">
        <f>('Tính dầm chính'!J96-'Tính dầm chính'!K96)/'TINH Q DAM CHINH'!N288</f>
        <v>114.5057411</v>
      </c>
      <c r="O305" s="500">
        <f>(N305/2/K291)*1000+5*I279</f>
        <v>567.8120182</v>
      </c>
      <c r="P305" s="277"/>
      <c r="Q305" s="277"/>
      <c r="R305" s="277"/>
      <c r="S305" s="277"/>
      <c r="T305" s="277"/>
      <c r="U305" s="277"/>
      <c r="V305" s="277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</row>
    <row r="306" ht="13.5" customHeight="1">
      <c r="A306" s="29"/>
      <c r="B306" s="435"/>
      <c r="C306" s="451"/>
      <c r="D306" s="451"/>
      <c r="E306" s="451"/>
      <c r="F306" s="451"/>
      <c r="G306" s="494"/>
      <c r="H306" s="501"/>
      <c r="I306" s="502"/>
      <c r="J306" s="502"/>
      <c r="K306" s="451"/>
      <c r="L306" s="498" t="s">
        <v>891</v>
      </c>
      <c r="M306" s="493"/>
      <c r="N306" s="499">
        <f>(-'Tính dầm chính'!K97+'Tính dầm chính'!J97)/N288</f>
        <v>128.9613251</v>
      </c>
      <c r="O306" s="500">
        <f>(N306/2/K291)*1000+5*I281</f>
        <v>639.3950231</v>
      </c>
      <c r="P306" s="277"/>
      <c r="Q306" s="277"/>
      <c r="R306" s="277"/>
      <c r="S306" s="277"/>
      <c r="T306" s="277"/>
      <c r="U306" s="277"/>
      <c r="V306" s="277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</row>
    <row r="307" ht="13.5" customHeight="1">
      <c r="A307" s="29"/>
      <c r="B307" s="435"/>
      <c r="C307" s="451"/>
      <c r="D307" s="451"/>
      <c r="E307" s="451"/>
      <c r="F307" s="451"/>
      <c r="G307" s="494"/>
      <c r="H307" s="501"/>
      <c r="I307" s="502"/>
      <c r="J307" s="502"/>
      <c r="K307" s="451"/>
      <c r="L307" s="498"/>
      <c r="M307" s="493"/>
      <c r="N307" s="499"/>
      <c r="O307" s="500"/>
      <c r="P307" s="277"/>
      <c r="Q307" s="277"/>
      <c r="R307" s="277"/>
      <c r="S307" s="277"/>
      <c r="T307" s="277"/>
      <c r="U307" s="277"/>
      <c r="V307" s="277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</row>
    <row r="308" ht="13.5" customHeight="1">
      <c r="A308" s="29"/>
      <c r="B308" s="435"/>
      <c r="C308" s="451"/>
      <c r="D308" s="451"/>
      <c r="E308" s="451"/>
      <c r="F308" s="451"/>
      <c r="G308" s="494"/>
      <c r="H308" s="501"/>
      <c r="I308" s="502"/>
      <c r="J308" s="502"/>
      <c r="K308" s="451"/>
      <c r="L308" s="451"/>
      <c r="M308" s="451"/>
      <c r="N308" s="451"/>
      <c r="O308" s="451"/>
      <c r="P308" s="277"/>
      <c r="Q308" s="277"/>
      <c r="R308" s="277"/>
      <c r="S308" s="277"/>
      <c r="T308" s="277"/>
      <c r="U308" s="277"/>
      <c r="V308" s="277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</row>
    <row r="309" ht="13.5" customHeight="1">
      <c r="A309" s="29"/>
      <c r="B309" s="435"/>
      <c r="C309" s="451"/>
      <c r="D309" s="451"/>
      <c r="E309" s="451"/>
      <c r="F309" s="451"/>
      <c r="G309" s="451"/>
      <c r="H309" s="451"/>
      <c r="I309" s="451"/>
      <c r="J309" s="451"/>
      <c r="K309" s="451"/>
      <c r="L309" s="451"/>
      <c r="M309" s="451"/>
      <c r="N309" s="451"/>
      <c r="O309" s="451"/>
      <c r="P309" s="277"/>
      <c r="Q309" s="277"/>
      <c r="R309" s="277"/>
      <c r="S309" s="277"/>
      <c r="T309" s="277"/>
      <c r="U309" s="277"/>
      <c r="V309" s="277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</row>
    <row r="310" ht="13.5" customHeight="1">
      <c r="A310" s="29"/>
      <c r="B310" s="435"/>
      <c r="C310" s="451"/>
      <c r="D310" s="451"/>
      <c r="E310" s="451"/>
      <c r="F310" s="451"/>
      <c r="G310" s="451"/>
      <c r="H310" s="451"/>
      <c r="I310" s="451"/>
      <c r="J310" s="451"/>
      <c r="K310" s="451"/>
      <c r="L310" s="451"/>
      <c r="M310" s="451"/>
      <c r="N310" s="451"/>
      <c r="O310" s="451"/>
      <c r="P310" s="277"/>
      <c r="Q310" s="277"/>
      <c r="R310" s="277"/>
      <c r="S310" s="277"/>
      <c r="T310" s="277"/>
      <c r="U310" s="277"/>
      <c r="V310" s="277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</row>
    <row r="311" ht="13.5" customHeight="1">
      <c r="A311" s="29"/>
      <c r="B311" s="435"/>
      <c r="C311" s="451"/>
      <c r="D311" s="451"/>
      <c r="E311" s="451"/>
      <c r="F311" s="451"/>
      <c r="G311" s="451"/>
      <c r="H311" s="451"/>
      <c r="I311" s="451"/>
      <c r="J311" s="451"/>
      <c r="K311" s="451"/>
      <c r="L311" s="451"/>
      <c r="M311" s="451"/>
      <c r="N311" s="451"/>
      <c r="O311" s="451"/>
      <c r="P311" s="277"/>
      <c r="Q311" s="277"/>
      <c r="R311" s="277"/>
      <c r="S311" s="277"/>
      <c r="T311" s="277"/>
      <c r="U311" s="277"/>
      <c r="V311" s="277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</row>
    <row r="312" ht="13.5" customHeight="1">
      <c r="A312" s="29"/>
      <c r="B312" s="435"/>
      <c r="C312" s="451"/>
      <c r="D312" s="451"/>
      <c r="E312" s="451"/>
      <c r="F312" s="451"/>
      <c r="G312" s="451"/>
      <c r="H312" s="451"/>
      <c r="I312" s="451"/>
      <c r="J312" s="451"/>
      <c r="K312" s="451"/>
      <c r="L312" s="451"/>
      <c r="M312" s="451"/>
      <c r="N312" s="451"/>
      <c r="O312" s="451"/>
      <c r="P312" s="277"/>
      <c r="Q312" s="277"/>
      <c r="R312" s="277"/>
      <c r="S312" s="277"/>
      <c r="T312" s="277"/>
      <c r="U312" s="277"/>
      <c r="V312" s="277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</row>
    <row r="313" ht="13.5" customHeight="1">
      <c r="A313" s="29"/>
      <c r="B313" s="435"/>
      <c r="C313" s="451"/>
      <c r="D313" s="451"/>
      <c r="E313" s="451"/>
      <c r="F313" s="451"/>
      <c r="G313" s="451"/>
      <c r="H313" s="451"/>
      <c r="I313" s="451"/>
      <c r="J313" s="451"/>
      <c r="K313" s="451"/>
      <c r="L313" s="451"/>
      <c r="M313" s="451"/>
      <c r="N313" s="451"/>
      <c r="O313" s="451"/>
      <c r="P313" s="277"/>
      <c r="Q313" s="277"/>
      <c r="R313" s="277"/>
      <c r="S313" s="277"/>
      <c r="T313" s="277"/>
      <c r="U313" s="277"/>
      <c r="V313" s="277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</row>
    <row r="314" ht="13.5" customHeight="1">
      <c r="A314" s="29"/>
      <c r="B314" s="435"/>
      <c r="C314" s="451"/>
      <c r="D314" s="451"/>
      <c r="E314" s="451"/>
      <c r="F314" s="451"/>
      <c r="G314" s="451"/>
      <c r="H314" s="451"/>
      <c r="I314" s="451"/>
      <c r="J314" s="451"/>
      <c r="K314" s="451"/>
      <c r="L314" s="451"/>
      <c r="M314" s="451"/>
      <c r="N314" s="451"/>
      <c r="O314" s="451"/>
      <c r="P314" s="277"/>
      <c r="Q314" s="277"/>
      <c r="R314" s="277"/>
      <c r="S314" s="277"/>
      <c r="T314" s="277"/>
      <c r="U314" s="277"/>
      <c r="V314" s="277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</row>
    <row r="315" ht="13.5" customHeight="1">
      <c r="A315" s="29"/>
      <c r="B315" s="435"/>
      <c r="C315" s="451"/>
      <c r="D315" s="451"/>
      <c r="E315" s="451"/>
      <c r="F315" s="451"/>
      <c r="G315" s="451"/>
      <c r="H315" s="451"/>
      <c r="I315" s="451"/>
      <c r="J315" s="451"/>
      <c r="K315" s="451"/>
      <c r="L315" s="451"/>
      <c r="M315" s="451"/>
      <c r="N315" s="451"/>
      <c r="O315" s="451"/>
      <c r="P315" s="277"/>
      <c r="Q315" s="277"/>
      <c r="R315" s="277"/>
      <c r="S315" s="277"/>
      <c r="T315" s="277"/>
      <c r="U315" s="277"/>
      <c r="V315" s="277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</row>
    <row r="316" ht="13.5" customHeight="1">
      <c r="A316" s="29"/>
      <c r="B316" s="435"/>
      <c r="C316" s="451"/>
      <c r="D316" s="451"/>
      <c r="E316" s="451"/>
      <c r="F316" s="451"/>
      <c r="G316" s="451"/>
      <c r="H316" s="451"/>
      <c r="I316" s="451"/>
      <c r="J316" s="451"/>
      <c r="K316" s="451"/>
      <c r="L316" s="451"/>
      <c r="M316" s="451"/>
      <c r="N316" s="451"/>
      <c r="O316" s="451"/>
      <c r="P316" s="277"/>
      <c r="Q316" s="277"/>
      <c r="R316" s="277"/>
      <c r="S316" s="277"/>
      <c r="T316" s="277"/>
      <c r="U316" s="277"/>
      <c r="V316" s="277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</row>
    <row r="317" ht="13.5" customHeight="1">
      <c r="A317" s="29"/>
      <c r="B317" s="435"/>
      <c r="C317" s="451"/>
      <c r="D317" s="451"/>
      <c r="E317" s="451"/>
      <c r="F317" s="451"/>
      <c r="G317" s="451"/>
      <c r="H317" s="451"/>
      <c r="I317" s="451"/>
      <c r="J317" s="451"/>
      <c r="K317" s="451"/>
      <c r="L317" s="451"/>
      <c r="M317" s="451"/>
      <c r="N317" s="451"/>
      <c r="O317" s="451"/>
      <c r="P317" s="277"/>
      <c r="Q317" s="277"/>
      <c r="R317" s="277"/>
      <c r="S317" s="277"/>
      <c r="T317" s="277"/>
      <c r="U317" s="277"/>
      <c r="V317" s="277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</row>
    <row r="318" ht="13.5" customHeight="1">
      <c r="A318" s="29"/>
      <c r="B318" s="435"/>
      <c r="C318" s="451"/>
      <c r="D318" s="451"/>
      <c r="E318" s="451"/>
      <c r="F318" s="451"/>
      <c r="G318" s="451"/>
      <c r="H318" s="451"/>
      <c r="I318" s="451"/>
      <c r="J318" s="451"/>
      <c r="K318" s="451"/>
      <c r="L318" s="451"/>
      <c r="M318" s="451"/>
      <c r="N318" s="451"/>
      <c r="O318" s="451"/>
      <c r="P318" s="277"/>
      <c r="Q318" s="277"/>
      <c r="R318" s="277"/>
      <c r="S318" s="277"/>
      <c r="T318" s="277"/>
      <c r="U318" s="277"/>
      <c r="V318" s="277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</row>
    <row r="319" ht="13.5" customHeight="1">
      <c r="A319" s="29"/>
      <c r="B319" s="435"/>
      <c r="C319" s="451"/>
      <c r="D319" s="451"/>
      <c r="E319" s="451"/>
      <c r="F319" s="451"/>
      <c r="G319" s="451"/>
      <c r="H319" s="451"/>
      <c r="I319" s="451"/>
      <c r="J319" s="451"/>
      <c r="K319" s="451"/>
      <c r="L319" s="451"/>
      <c r="M319" s="451"/>
      <c r="N319" s="451"/>
      <c r="O319" s="451"/>
      <c r="P319" s="277"/>
      <c r="Q319" s="277"/>
      <c r="R319" s="277"/>
      <c r="S319" s="277"/>
      <c r="T319" s="277"/>
      <c r="U319" s="277"/>
      <c r="V319" s="277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</row>
    <row r="320" ht="13.5" customHeight="1">
      <c r="A320" s="29"/>
      <c r="B320" s="435"/>
      <c r="C320" s="451"/>
      <c r="D320" s="451"/>
      <c r="E320" s="451"/>
      <c r="F320" s="451"/>
      <c r="G320" s="451"/>
      <c r="H320" s="451"/>
      <c r="I320" s="451"/>
      <c r="J320" s="451"/>
      <c r="K320" s="451"/>
      <c r="L320" s="451"/>
      <c r="M320" s="451"/>
      <c r="N320" s="451"/>
      <c r="O320" s="451"/>
      <c r="P320" s="277"/>
      <c r="Q320" s="277"/>
      <c r="R320" s="277"/>
      <c r="S320" s="277"/>
      <c r="T320" s="277"/>
      <c r="U320" s="277"/>
      <c r="V320" s="277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</row>
    <row r="321" ht="13.5" customHeight="1">
      <c r="A321" s="29"/>
      <c r="B321" s="435"/>
      <c r="C321" s="451"/>
      <c r="D321" s="451"/>
      <c r="E321" s="451"/>
      <c r="F321" s="451"/>
      <c r="G321" s="451"/>
      <c r="H321" s="451"/>
      <c r="I321" s="451"/>
      <c r="J321" s="451"/>
      <c r="K321" s="451"/>
      <c r="L321" s="451"/>
      <c r="M321" s="451"/>
      <c r="N321" s="451"/>
      <c r="O321" s="451"/>
      <c r="P321" s="277"/>
      <c r="Q321" s="277"/>
      <c r="R321" s="277"/>
      <c r="S321" s="277"/>
      <c r="T321" s="277"/>
      <c r="U321" s="277"/>
      <c r="V321" s="277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</row>
    <row r="322" ht="13.5" customHeight="1">
      <c r="A322" s="29"/>
      <c r="B322" s="435"/>
      <c r="C322" s="451"/>
      <c r="D322" s="451"/>
      <c r="E322" s="451"/>
      <c r="F322" s="451"/>
      <c r="G322" s="451"/>
      <c r="H322" s="451"/>
      <c r="I322" s="451"/>
      <c r="J322" s="451"/>
      <c r="K322" s="451"/>
      <c r="L322" s="451"/>
      <c r="M322" s="451"/>
      <c r="N322" s="451"/>
      <c r="O322" s="451"/>
      <c r="P322" s="277"/>
      <c r="Q322" s="277"/>
      <c r="R322" s="277"/>
      <c r="S322" s="277"/>
      <c r="T322" s="277"/>
      <c r="U322" s="277"/>
      <c r="V322" s="277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</row>
    <row r="323" ht="13.5" customHeight="1">
      <c r="A323" s="29"/>
      <c r="B323" s="435"/>
      <c r="C323" s="451"/>
      <c r="D323" s="451"/>
      <c r="E323" s="451"/>
      <c r="F323" s="451"/>
      <c r="G323" s="451"/>
      <c r="H323" s="451"/>
      <c r="I323" s="451"/>
      <c r="J323" s="451"/>
      <c r="K323" s="451"/>
      <c r="L323" s="451"/>
      <c r="M323" s="451"/>
      <c r="N323" s="451"/>
      <c r="O323" s="451"/>
      <c r="P323" s="277"/>
      <c r="Q323" s="277"/>
      <c r="R323" s="277"/>
      <c r="S323" s="277"/>
      <c r="T323" s="277"/>
      <c r="U323" s="277"/>
      <c r="V323" s="277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</row>
    <row r="324" ht="13.5" customHeight="1">
      <c r="A324" s="29"/>
      <c r="B324" s="435"/>
      <c r="C324" s="451"/>
      <c r="D324" s="451"/>
      <c r="E324" s="451"/>
      <c r="F324" s="451"/>
      <c r="G324" s="451"/>
      <c r="H324" s="451"/>
      <c r="I324" s="451"/>
      <c r="J324" s="451"/>
      <c r="K324" s="451"/>
      <c r="L324" s="451"/>
      <c r="M324" s="451"/>
      <c r="N324" s="451"/>
      <c r="O324" s="451"/>
      <c r="P324" s="277"/>
      <c r="Q324" s="277"/>
      <c r="R324" s="277"/>
      <c r="S324" s="277"/>
      <c r="T324" s="277"/>
      <c r="U324" s="277"/>
      <c r="V324" s="277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</row>
    <row r="325" ht="13.5" customHeight="1">
      <c r="A325" s="29"/>
      <c r="B325" s="435"/>
      <c r="C325" s="451"/>
      <c r="D325" s="451"/>
      <c r="E325" s="451"/>
      <c r="F325" s="451"/>
      <c r="G325" s="451"/>
      <c r="H325" s="451"/>
      <c r="I325" s="451"/>
      <c r="J325" s="451"/>
      <c r="K325" s="451"/>
      <c r="L325" s="451"/>
      <c r="M325" s="451"/>
      <c r="N325" s="451"/>
      <c r="O325" s="451"/>
      <c r="P325" s="277"/>
      <c r="Q325" s="277"/>
      <c r="R325" s="277"/>
      <c r="S325" s="277"/>
      <c r="T325" s="277"/>
      <c r="U325" s="277"/>
      <c r="V325" s="277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</row>
    <row r="326" ht="13.5" customHeight="1">
      <c r="A326" s="29"/>
      <c r="B326" s="435"/>
      <c r="C326" s="451"/>
      <c r="D326" s="451"/>
      <c r="E326" s="451"/>
      <c r="F326" s="451"/>
      <c r="G326" s="451"/>
      <c r="H326" s="451"/>
      <c r="I326" s="451"/>
      <c r="J326" s="451"/>
      <c r="K326" s="451"/>
      <c r="L326" s="451"/>
      <c r="M326" s="451"/>
      <c r="N326" s="451"/>
      <c r="O326" s="451"/>
      <c r="P326" s="277"/>
      <c r="Q326" s="277"/>
      <c r="R326" s="277"/>
      <c r="S326" s="277"/>
      <c r="T326" s="277"/>
      <c r="U326" s="277"/>
      <c r="V326" s="277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</row>
    <row r="327" ht="13.5" customHeight="1">
      <c r="A327" s="29"/>
      <c r="B327" s="435"/>
      <c r="C327" s="451"/>
      <c r="D327" s="451"/>
      <c r="E327" s="451"/>
      <c r="F327" s="451"/>
      <c r="G327" s="451"/>
      <c r="H327" s="451"/>
      <c r="I327" s="451"/>
      <c r="J327" s="451"/>
      <c r="K327" s="451"/>
      <c r="L327" s="451"/>
      <c r="M327" s="451"/>
      <c r="N327" s="451"/>
      <c r="O327" s="451"/>
      <c r="P327" s="277"/>
      <c r="Q327" s="277"/>
      <c r="R327" s="277"/>
      <c r="S327" s="277"/>
      <c r="T327" s="277"/>
      <c r="U327" s="277"/>
      <c r="V327" s="277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</row>
    <row r="328" ht="13.5" customHeight="1">
      <c r="A328" s="29"/>
      <c r="B328" s="435"/>
      <c r="C328" s="451"/>
      <c r="D328" s="451"/>
      <c r="E328" s="451"/>
      <c r="F328" s="451"/>
      <c r="G328" s="451"/>
      <c r="H328" s="451"/>
      <c r="I328" s="451"/>
      <c r="J328" s="451"/>
      <c r="K328" s="451"/>
      <c r="L328" s="451"/>
      <c r="M328" s="451"/>
      <c r="N328" s="451"/>
      <c r="O328" s="451"/>
      <c r="P328" s="277"/>
      <c r="Q328" s="277"/>
      <c r="R328" s="277"/>
      <c r="S328" s="277"/>
      <c r="T328" s="277"/>
      <c r="U328" s="277"/>
      <c r="V328" s="277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</row>
    <row r="329" ht="13.5" customHeight="1">
      <c r="A329" s="29"/>
      <c r="B329" s="435"/>
      <c r="C329" s="451"/>
      <c r="D329" s="451"/>
      <c r="E329" s="451"/>
      <c r="F329" s="451"/>
      <c r="G329" s="451"/>
      <c r="H329" s="451"/>
      <c r="I329" s="451"/>
      <c r="J329" s="451"/>
      <c r="K329" s="451"/>
      <c r="L329" s="451"/>
      <c r="M329" s="451"/>
      <c r="N329" s="451"/>
      <c r="O329" s="451"/>
      <c r="P329" s="277"/>
      <c r="Q329" s="277"/>
      <c r="R329" s="277"/>
      <c r="S329" s="277"/>
      <c r="T329" s="277"/>
      <c r="U329" s="277"/>
      <c r="V329" s="277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</row>
    <row r="330" ht="13.5" customHeight="1">
      <c r="A330" s="29"/>
      <c r="B330" s="435"/>
      <c r="C330" s="451"/>
      <c r="D330" s="451"/>
      <c r="E330" s="451"/>
      <c r="F330" s="451"/>
      <c r="G330" s="451"/>
      <c r="H330" s="451"/>
      <c r="I330" s="451"/>
      <c r="J330" s="451"/>
      <c r="K330" s="451"/>
      <c r="L330" s="451"/>
      <c r="M330" s="451"/>
      <c r="N330" s="451"/>
      <c r="O330" s="451"/>
      <c r="P330" s="277"/>
      <c r="Q330" s="277"/>
      <c r="R330" s="277"/>
      <c r="S330" s="277"/>
      <c r="T330" s="277"/>
      <c r="U330" s="277"/>
      <c r="V330" s="277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</row>
    <row r="331" ht="13.5" customHeight="1">
      <c r="A331" s="29"/>
      <c r="B331" s="435"/>
      <c r="C331" s="451"/>
      <c r="D331" s="451"/>
      <c r="E331" s="451"/>
      <c r="F331" s="451"/>
      <c r="G331" s="451"/>
      <c r="H331" s="451"/>
      <c r="I331" s="451"/>
      <c r="J331" s="451"/>
      <c r="K331" s="451"/>
      <c r="L331" s="451"/>
      <c r="M331" s="451"/>
      <c r="N331" s="451"/>
      <c r="O331" s="451"/>
      <c r="P331" s="277"/>
      <c r="Q331" s="277"/>
      <c r="R331" s="277"/>
      <c r="S331" s="277"/>
      <c r="T331" s="277"/>
      <c r="U331" s="277"/>
      <c r="V331" s="277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</row>
    <row r="332" ht="13.5" customHeight="1">
      <c r="A332" s="29"/>
      <c r="B332" s="435"/>
      <c r="C332" s="451"/>
      <c r="D332" s="451"/>
      <c r="E332" s="451"/>
      <c r="F332" s="451"/>
      <c r="G332" s="451"/>
      <c r="H332" s="451"/>
      <c r="I332" s="451"/>
      <c r="J332" s="451"/>
      <c r="K332" s="451"/>
      <c r="L332" s="451"/>
      <c r="M332" s="451"/>
      <c r="N332" s="451"/>
      <c r="O332" s="451"/>
      <c r="P332" s="277"/>
      <c r="Q332" s="277"/>
      <c r="R332" s="277"/>
      <c r="S332" s="277"/>
      <c r="T332" s="277"/>
      <c r="U332" s="277"/>
      <c r="V332" s="277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</row>
    <row r="333" ht="13.5" customHeight="1">
      <c r="A333" s="29"/>
      <c r="B333" s="435"/>
      <c r="C333" s="451"/>
      <c r="D333" s="451"/>
      <c r="E333" s="451"/>
      <c r="F333" s="451"/>
      <c r="G333" s="451"/>
      <c r="H333" s="451"/>
      <c r="I333" s="451"/>
      <c r="J333" s="451"/>
      <c r="K333" s="451"/>
      <c r="L333" s="451"/>
      <c r="M333" s="451"/>
      <c r="N333" s="451"/>
      <c r="O333" s="451"/>
      <c r="P333" s="277"/>
      <c r="Q333" s="277"/>
      <c r="R333" s="277"/>
      <c r="S333" s="277"/>
      <c r="T333" s="277"/>
      <c r="U333" s="277"/>
      <c r="V333" s="277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</row>
    <row r="334" ht="13.5" customHeight="1">
      <c r="A334" s="29"/>
      <c r="B334" s="435"/>
      <c r="C334" s="451"/>
      <c r="D334" s="451"/>
      <c r="E334" s="451"/>
      <c r="F334" s="451"/>
      <c r="G334" s="451"/>
      <c r="H334" s="451"/>
      <c r="I334" s="451"/>
      <c r="J334" s="451"/>
      <c r="K334" s="451"/>
      <c r="L334" s="451"/>
      <c r="M334" s="451"/>
      <c r="N334" s="451"/>
      <c r="O334" s="451"/>
      <c r="P334" s="277"/>
      <c r="Q334" s="277"/>
      <c r="R334" s="277"/>
      <c r="S334" s="277"/>
      <c r="T334" s="277"/>
      <c r="U334" s="277"/>
      <c r="V334" s="277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</row>
    <row r="335" ht="13.5" customHeight="1">
      <c r="A335" s="29"/>
      <c r="B335" s="435"/>
      <c r="C335" s="451"/>
      <c r="D335" s="451"/>
      <c r="E335" s="451"/>
      <c r="F335" s="451"/>
      <c r="G335" s="451"/>
      <c r="H335" s="451"/>
      <c r="I335" s="451"/>
      <c r="J335" s="451"/>
      <c r="K335" s="451"/>
      <c r="L335" s="451"/>
      <c r="M335" s="451"/>
      <c r="N335" s="451"/>
      <c r="O335" s="451"/>
      <c r="P335" s="277"/>
      <c r="Q335" s="277"/>
      <c r="R335" s="277"/>
      <c r="S335" s="277"/>
      <c r="T335" s="277"/>
      <c r="U335" s="277"/>
      <c r="V335" s="277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</row>
    <row r="336" ht="13.5" customHeight="1">
      <c r="A336" s="29"/>
      <c r="B336" s="435"/>
      <c r="C336" s="451"/>
      <c r="D336" s="451"/>
      <c r="E336" s="451"/>
      <c r="F336" s="451"/>
      <c r="G336" s="451"/>
      <c r="H336" s="451"/>
      <c r="I336" s="451"/>
      <c r="J336" s="451"/>
      <c r="K336" s="451"/>
      <c r="L336" s="451"/>
      <c r="M336" s="451"/>
      <c r="N336" s="451"/>
      <c r="O336" s="451"/>
      <c r="P336" s="277"/>
      <c r="Q336" s="277"/>
      <c r="R336" s="277"/>
      <c r="S336" s="277"/>
      <c r="T336" s="277"/>
      <c r="U336" s="277"/>
      <c r="V336" s="277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</row>
    <row r="337" ht="13.5" customHeight="1">
      <c r="A337" s="29"/>
      <c r="B337" s="435"/>
      <c r="C337" s="451"/>
      <c r="D337" s="451"/>
      <c r="E337" s="451"/>
      <c r="F337" s="451"/>
      <c r="G337" s="451"/>
      <c r="H337" s="451"/>
      <c r="I337" s="451"/>
      <c r="J337" s="451"/>
      <c r="K337" s="451"/>
      <c r="L337" s="451"/>
      <c r="M337" s="451"/>
      <c r="N337" s="451"/>
      <c r="O337" s="451"/>
      <c r="P337" s="277"/>
      <c r="Q337" s="277"/>
      <c r="R337" s="277"/>
      <c r="S337" s="277"/>
      <c r="T337" s="277"/>
      <c r="U337" s="277"/>
      <c r="V337" s="277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</row>
    <row r="338" ht="13.5" customHeight="1">
      <c r="A338" s="29"/>
      <c r="B338" s="435"/>
      <c r="C338" s="451"/>
      <c r="D338" s="451"/>
      <c r="E338" s="451"/>
      <c r="F338" s="451"/>
      <c r="G338" s="451"/>
      <c r="H338" s="451"/>
      <c r="I338" s="451"/>
      <c r="J338" s="451"/>
      <c r="K338" s="451"/>
      <c r="L338" s="451"/>
      <c r="M338" s="451"/>
      <c r="N338" s="451"/>
      <c r="O338" s="451"/>
      <c r="P338" s="277"/>
      <c r="Q338" s="277"/>
      <c r="R338" s="277"/>
      <c r="S338" s="277"/>
      <c r="T338" s="277"/>
      <c r="U338" s="277"/>
      <c r="V338" s="277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</row>
    <row r="339" ht="13.5" customHeight="1">
      <c r="A339" s="29"/>
      <c r="B339" s="435"/>
      <c r="C339" s="451"/>
      <c r="D339" s="451"/>
      <c r="E339" s="451"/>
      <c r="F339" s="451"/>
      <c r="G339" s="451"/>
      <c r="H339" s="451"/>
      <c r="I339" s="451"/>
      <c r="J339" s="451"/>
      <c r="K339" s="451"/>
      <c r="L339" s="451"/>
      <c r="M339" s="451"/>
      <c r="N339" s="451"/>
      <c r="O339" s="451"/>
      <c r="P339" s="277"/>
      <c r="Q339" s="277"/>
      <c r="R339" s="277"/>
      <c r="S339" s="277"/>
      <c r="T339" s="277"/>
      <c r="U339" s="277"/>
      <c r="V339" s="277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</row>
    <row r="340" ht="13.5" customHeight="1">
      <c r="A340" s="29"/>
      <c r="B340" s="435"/>
      <c r="C340" s="451"/>
      <c r="D340" s="451"/>
      <c r="E340" s="451"/>
      <c r="F340" s="451"/>
      <c r="G340" s="451"/>
      <c r="H340" s="451"/>
      <c r="I340" s="451"/>
      <c r="J340" s="451"/>
      <c r="K340" s="451"/>
      <c r="L340" s="451"/>
      <c r="M340" s="451"/>
      <c r="N340" s="451"/>
      <c r="O340" s="451"/>
      <c r="P340" s="277"/>
      <c r="Q340" s="277"/>
      <c r="R340" s="277"/>
      <c r="S340" s="277"/>
      <c r="T340" s="277"/>
      <c r="U340" s="277"/>
      <c r="V340" s="277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</row>
    <row r="341" ht="13.5" customHeight="1">
      <c r="A341" s="29"/>
      <c r="B341" s="435"/>
      <c r="C341" s="451"/>
      <c r="D341" s="451"/>
      <c r="E341" s="451"/>
      <c r="F341" s="451"/>
      <c r="G341" s="451"/>
      <c r="H341" s="451"/>
      <c r="I341" s="451"/>
      <c r="J341" s="451"/>
      <c r="K341" s="451"/>
      <c r="L341" s="451"/>
      <c r="M341" s="451"/>
      <c r="N341" s="451"/>
      <c r="O341" s="451"/>
      <c r="P341" s="277"/>
      <c r="Q341" s="277"/>
      <c r="R341" s="277"/>
      <c r="S341" s="277"/>
      <c r="T341" s="277"/>
      <c r="U341" s="277"/>
      <c r="V341" s="277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</row>
    <row r="342" ht="13.5" customHeight="1">
      <c r="A342" s="29"/>
      <c r="B342" s="435"/>
      <c r="C342" s="451"/>
      <c r="D342" s="451"/>
      <c r="E342" s="451"/>
      <c r="F342" s="451"/>
      <c r="G342" s="451"/>
      <c r="H342" s="451"/>
      <c r="I342" s="451"/>
      <c r="J342" s="451"/>
      <c r="K342" s="451"/>
      <c r="L342" s="451"/>
      <c r="M342" s="451"/>
      <c r="N342" s="451"/>
      <c r="O342" s="451"/>
      <c r="P342" s="277"/>
      <c r="Q342" s="277"/>
      <c r="R342" s="277"/>
      <c r="S342" s="277"/>
      <c r="T342" s="277"/>
      <c r="U342" s="277"/>
      <c r="V342" s="277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</row>
    <row r="343" ht="13.5" customHeight="1">
      <c r="A343" s="29"/>
      <c r="B343" s="435"/>
      <c r="C343" s="451"/>
      <c r="D343" s="451"/>
      <c r="E343" s="451"/>
      <c r="F343" s="451"/>
      <c r="G343" s="451"/>
      <c r="H343" s="451"/>
      <c r="I343" s="451"/>
      <c r="J343" s="451"/>
      <c r="K343" s="451"/>
      <c r="L343" s="451"/>
      <c r="M343" s="451"/>
      <c r="N343" s="451"/>
      <c r="O343" s="451"/>
      <c r="P343" s="277"/>
      <c r="Q343" s="277"/>
      <c r="R343" s="277"/>
      <c r="S343" s="277"/>
      <c r="T343" s="277"/>
      <c r="U343" s="277"/>
      <c r="V343" s="277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</row>
    <row r="344" ht="13.5" customHeight="1">
      <c r="A344" s="29"/>
      <c r="B344" s="435"/>
      <c r="C344" s="451"/>
      <c r="D344" s="451"/>
      <c r="E344" s="451"/>
      <c r="F344" s="451"/>
      <c r="G344" s="451"/>
      <c r="H344" s="451"/>
      <c r="I344" s="451"/>
      <c r="J344" s="451"/>
      <c r="K344" s="451"/>
      <c r="L344" s="451"/>
      <c r="M344" s="451"/>
      <c r="N344" s="451"/>
      <c r="O344" s="451"/>
      <c r="P344" s="277"/>
      <c r="Q344" s="277"/>
      <c r="R344" s="277"/>
      <c r="S344" s="277"/>
      <c r="T344" s="277"/>
      <c r="U344" s="277"/>
      <c r="V344" s="277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</row>
    <row r="345" ht="13.5" customHeight="1">
      <c r="A345" s="29"/>
      <c r="B345" s="435"/>
      <c r="C345" s="451"/>
      <c r="D345" s="451"/>
      <c r="E345" s="451"/>
      <c r="F345" s="451"/>
      <c r="G345" s="451"/>
      <c r="H345" s="451"/>
      <c r="I345" s="451"/>
      <c r="J345" s="451"/>
      <c r="K345" s="451"/>
      <c r="L345" s="451"/>
      <c r="M345" s="451"/>
      <c r="N345" s="451"/>
      <c r="O345" s="451"/>
      <c r="P345" s="277"/>
      <c r="Q345" s="277"/>
      <c r="R345" s="277"/>
      <c r="S345" s="277"/>
      <c r="T345" s="277"/>
      <c r="U345" s="277"/>
      <c r="V345" s="277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</row>
    <row r="346" ht="13.5" customHeight="1">
      <c r="A346" s="29"/>
      <c r="B346" s="435"/>
      <c r="C346" s="451"/>
      <c r="D346" s="451"/>
      <c r="E346" s="451"/>
      <c r="F346" s="451"/>
      <c r="G346" s="451"/>
      <c r="H346" s="451"/>
      <c r="I346" s="451"/>
      <c r="J346" s="451"/>
      <c r="K346" s="451"/>
      <c r="L346" s="451"/>
      <c r="M346" s="451"/>
      <c r="N346" s="451"/>
      <c r="O346" s="451"/>
      <c r="P346" s="277"/>
      <c r="Q346" s="277"/>
      <c r="R346" s="277"/>
      <c r="S346" s="277"/>
      <c r="T346" s="277"/>
      <c r="U346" s="277"/>
      <c r="V346" s="277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</row>
    <row r="347" ht="13.5" customHeight="1">
      <c r="A347" s="29"/>
      <c r="B347" s="435"/>
      <c r="C347" s="451"/>
      <c r="D347" s="451"/>
      <c r="E347" s="451"/>
      <c r="F347" s="451"/>
      <c r="G347" s="451"/>
      <c r="H347" s="451"/>
      <c r="I347" s="451"/>
      <c r="J347" s="451"/>
      <c r="K347" s="451"/>
      <c r="L347" s="451"/>
      <c r="M347" s="451"/>
      <c r="N347" s="451"/>
      <c r="O347" s="451"/>
      <c r="P347" s="277"/>
      <c r="Q347" s="277"/>
      <c r="R347" s="277"/>
      <c r="S347" s="277"/>
      <c r="T347" s="277"/>
      <c r="U347" s="277"/>
      <c r="V347" s="277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</row>
    <row r="348" ht="13.5" customHeight="1">
      <c r="A348" s="29"/>
      <c r="B348" s="435"/>
      <c r="C348" s="451"/>
      <c r="D348" s="451"/>
      <c r="E348" s="451"/>
      <c r="F348" s="451"/>
      <c r="G348" s="451"/>
      <c r="H348" s="451"/>
      <c r="I348" s="451"/>
      <c r="J348" s="451"/>
      <c r="K348" s="451"/>
      <c r="L348" s="451"/>
      <c r="M348" s="451"/>
      <c r="N348" s="451"/>
      <c r="O348" s="451"/>
      <c r="P348" s="277"/>
      <c r="Q348" s="277"/>
      <c r="R348" s="277"/>
      <c r="S348" s="277"/>
      <c r="T348" s="277"/>
      <c r="U348" s="277"/>
      <c r="V348" s="277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</row>
    <row r="349" ht="13.5" customHeight="1">
      <c r="A349" s="29"/>
      <c r="B349" s="435"/>
      <c r="C349" s="451"/>
      <c r="D349" s="451"/>
      <c r="E349" s="451"/>
      <c r="F349" s="451"/>
      <c r="G349" s="451"/>
      <c r="H349" s="451"/>
      <c r="I349" s="451"/>
      <c r="J349" s="451"/>
      <c r="K349" s="451"/>
      <c r="L349" s="451"/>
      <c r="M349" s="451"/>
      <c r="N349" s="451"/>
      <c r="O349" s="451"/>
      <c r="P349" s="277"/>
      <c r="Q349" s="277"/>
      <c r="R349" s="277"/>
      <c r="S349" s="277"/>
      <c r="T349" s="277"/>
      <c r="U349" s="277"/>
      <c r="V349" s="277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</row>
    <row r="350" ht="13.5" customHeight="1">
      <c r="A350" s="29"/>
      <c r="B350" s="435"/>
      <c r="C350" s="451"/>
      <c r="D350" s="451"/>
      <c r="E350" s="451"/>
      <c r="F350" s="451"/>
      <c r="G350" s="451"/>
      <c r="H350" s="451"/>
      <c r="I350" s="451"/>
      <c r="J350" s="451"/>
      <c r="K350" s="451"/>
      <c r="L350" s="451"/>
      <c r="M350" s="451"/>
      <c r="N350" s="451"/>
      <c r="O350" s="451"/>
      <c r="P350" s="277"/>
      <c r="Q350" s="277"/>
      <c r="R350" s="277"/>
      <c r="S350" s="277"/>
      <c r="T350" s="277"/>
      <c r="U350" s="277"/>
      <c r="V350" s="277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</row>
    <row r="351" ht="13.5" customHeight="1">
      <c r="A351" s="29"/>
      <c r="B351" s="435"/>
      <c r="C351" s="451"/>
      <c r="D351" s="451"/>
      <c r="E351" s="451"/>
      <c r="F351" s="451"/>
      <c r="G351" s="451"/>
      <c r="H351" s="451"/>
      <c r="I351" s="451"/>
      <c r="J351" s="451"/>
      <c r="K351" s="451"/>
      <c r="L351" s="451"/>
      <c r="M351" s="451"/>
      <c r="N351" s="451"/>
      <c r="O351" s="451"/>
      <c r="P351" s="277"/>
      <c r="Q351" s="277"/>
      <c r="R351" s="277"/>
      <c r="S351" s="277"/>
      <c r="T351" s="277"/>
      <c r="U351" s="277"/>
      <c r="V351" s="277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</row>
    <row r="352" ht="13.5" customHeight="1">
      <c r="A352" s="29"/>
      <c r="B352" s="435"/>
      <c r="C352" s="451"/>
      <c r="D352" s="451"/>
      <c r="E352" s="451"/>
      <c r="F352" s="451"/>
      <c r="G352" s="451"/>
      <c r="H352" s="451"/>
      <c r="I352" s="451"/>
      <c r="J352" s="451"/>
      <c r="K352" s="451"/>
      <c r="L352" s="451"/>
      <c r="M352" s="451"/>
      <c r="N352" s="451"/>
      <c r="O352" s="451"/>
      <c r="P352" s="277"/>
      <c r="Q352" s="277"/>
      <c r="R352" s="277"/>
      <c r="S352" s="277"/>
      <c r="T352" s="277"/>
      <c r="U352" s="277"/>
      <c r="V352" s="277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</row>
    <row r="353" ht="13.5" customHeight="1">
      <c r="A353" s="29"/>
      <c r="B353" s="435"/>
      <c r="C353" s="451"/>
      <c r="D353" s="451"/>
      <c r="E353" s="451"/>
      <c r="F353" s="451"/>
      <c r="G353" s="451"/>
      <c r="H353" s="451"/>
      <c r="I353" s="451"/>
      <c r="J353" s="451"/>
      <c r="K353" s="451"/>
      <c r="L353" s="451"/>
      <c r="M353" s="451"/>
      <c r="N353" s="451"/>
      <c r="O353" s="451"/>
      <c r="P353" s="277"/>
      <c r="Q353" s="277"/>
      <c r="R353" s="277"/>
      <c r="S353" s="277"/>
      <c r="T353" s="277"/>
      <c r="U353" s="277"/>
      <c r="V353" s="277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</row>
    <row r="354" ht="13.5" customHeight="1">
      <c r="A354" s="29"/>
      <c r="B354" s="435"/>
      <c r="C354" s="451"/>
      <c r="D354" s="451"/>
      <c r="E354" s="451"/>
      <c r="F354" s="451"/>
      <c r="G354" s="451"/>
      <c r="H354" s="451"/>
      <c r="I354" s="451"/>
      <c r="J354" s="451"/>
      <c r="K354" s="451"/>
      <c r="L354" s="451"/>
      <c r="M354" s="451"/>
      <c r="N354" s="451"/>
      <c r="O354" s="451"/>
      <c r="P354" s="277"/>
      <c r="Q354" s="277"/>
      <c r="R354" s="277"/>
      <c r="S354" s="277"/>
      <c r="T354" s="277"/>
      <c r="U354" s="277"/>
      <c r="V354" s="277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</row>
    <row r="355" ht="13.5" customHeight="1">
      <c r="A355" s="29"/>
      <c r="B355" s="435"/>
      <c r="C355" s="451"/>
      <c r="D355" s="451"/>
      <c r="E355" s="451"/>
      <c r="F355" s="451"/>
      <c r="G355" s="451"/>
      <c r="H355" s="451"/>
      <c r="I355" s="451"/>
      <c r="J355" s="451"/>
      <c r="K355" s="451"/>
      <c r="L355" s="451"/>
      <c r="M355" s="451"/>
      <c r="N355" s="451"/>
      <c r="O355" s="451"/>
      <c r="P355" s="277"/>
      <c r="Q355" s="277"/>
      <c r="R355" s="277"/>
      <c r="S355" s="277"/>
      <c r="T355" s="277"/>
      <c r="U355" s="277"/>
      <c r="V355" s="277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</row>
    <row r="356" ht="13.5" customHeight="1">
      <c r="A356" s="29"/>
      <c r="B356" s="435"/>
      <c r="C356" s="451"/>
      <c r="D356" s="451"/>
      <c r="E356" s="451"/>
      <c r="F356" s="451"/>
      <c r="G356" s="451"/>
      <c r="H356" s="451"/>
      <c r="I356" s="451"/>
      <c r="J356" s="451"/>
      <c r="K356" s="451"/>
      <c r="L356" s="451"/>
      <c r="M356" s="451"/>
      <c r="N356" s="451"/>
      <c r="O356" s="451"/>
      <c r="P356" s="277"/>
      <c r="Q356" s="277"/>
      <c r="R356" s="277"/>
      <c r="S356" s="277"/>
      <c r="T356" s="277"/>
      <c r="U356" s="277"/>
      <c r="V356" s="277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</row>
    <row r="357" ht="13.5" customHeight="1">
      <c r="A357" s="29"/>
      <c r="B357" s="435"/>
      <c r="C357" s="451"/>
      <c r="D357" s="451"/>
      <c r="E357" s="451"/>
      <c r="F357" s="451"/>
      <c r="G357" s="451"/>
      <c r="H357" s="451"/>
      <c r="I357" s="451"/>
      <c r="J357" s="451"/>
      <c r="K357" s="451"/>
      <c r="L357" s="451"/>
      <c r="M357" s="451"/>
      <c r="N357" s="451"/>
      <c r="O357" s="451"/>
      <c r="P357" s="277"/>
      <c r="Q357" s="277"/>
      <c r="R357" s="277"/>
      <c r="S357" s="277"/>
      <c r="T357" s="277"/>
      <c r="U357" s="277"/>
      <c r="V357" s="277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</row>
    <row r="358" ht="13.5" customHeight="1">
      <c r="A358" s="29"/>
      <c r="B358" s="435"/>
      <c r="C358" s="451"/>
      <c r="D358" s="451"/>
      <c r="E358" s="451"/>
      <c r="F358" s="451"/>
      <c r="G358" s="451"/>
      <c r="H358" s="451"/>
      <c r="I358" s="451"/>
      <c r="J358" s="451"/>
      <c r="K358" s="451"/>
      <c r="L358" s="451"/>
      <c r="M358" s="451"/>
      <c r="N358" s="451"/>
      <c r="O358" s="451"/>
      <c r="P358" s="277"/>
      <c r="Q358" s="277"/>
      <c r="R358" s="277"/>
      <c r="S358" s="277"/>
      <c r="T358" s="277"/>
      <c r="U358" s="277"/>
      <c r="V358" s="277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</row>
    <row r="359" ht="13.5" customHeight="1">
      <c r="A359" s="29"/>
      <c r="B359" s="435"/>
      <c r="C359" s="451"/>
      <c r="D359" s="451"/>
      <c r="E359" s="451"/>
      <c r="F359" s="451"/>
      <c r="G359" s="451"/>
      <c r="H359" s="451"/>
      <c r="I359" s="451"/>
      <c r="J359" s="451"/>
      <c r="K359" s="451"/>
      <c r="L359" s="451"/>
      <c r="M359" s="451"/>
      <c r="N359" s="451"/>
      <c r="O359" s="451"/>
      <c r="P359" s="277"/>
      <c r="Q359" s="277"/>
      <c r="R359" s="277"/>
      <c r="S359" s="277"/>
      <c r="T359" s="277"/>
      <c r="U359" s="277"/>
      <c r="V359" s="277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</row>
    <row r="360" ht="13.5" customHeight="1">
      <c r="A360" s="29"/>
      <c r="B360" s="435"/>
      <c r="C360" s="451"/>
      <c r="D360" s="451"/>
      <c r="E360" s="451"/>
      <c r="F360" s="451"/>
      <c r="G360" s="451"/>
      <c r="H360" s="451"/>
      <c r="I360" s="451"/>
      <c r="J360" s="451"/>
      <c r="K360" s="451"/>
      <c r="L360" s="451"/>
      <c r="M360" s="451"/>
      <c r="N360" s="451"/>
      <c r="O360" s="451"/>
      <c r="P360" s="277"/>
      <c r="Q360" s="277"/>
      <c r="R360" s="277"/>
      <c r="S360" s="277"/>
      <c r="T360" s="277"/>
      <c r="U360" s="277"/>
      <c r="V360" s="277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</row>
    <row r="361" ht="13.5" customHeight="1">
      <c r="A361" s="29"/>
      <c r="B361" s="435"/>
      <c r="C361" s="451"/>
      <c r="D361" s="451"/>
      <c r="E361" s="451"/>
      <c r="F361" s="451"/>
      <c r="G361" s="451"/>
      <c r="H361" s="451"/>
      <c r="I361" s="451"/>
      <c r="J361" s="451"/>
      <c r="K361" s="451"/>
      <c r="L361" s="451"/>
      <c r="M361" s="451"/>
      <c r="N361" s="451"/>
      <c r="O361" s="451"/>
      <c r="P361" s="277"/>
      <c r="Q361" s="277"/>
      <c r="R361" s="277"/>
      <c r="S361" s="277"/>
      <c r="T361" s="277"/>
      <c r="U361" s="277"/>
      <c r="V361" s="277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</row>
    <row r="362" ht="13.5" customHeight="1">
      <c r="A362" s="29"/>
      <c r="B362" s="435"/>
      <c r="C362" s="451"/>
      <c r="D362" s="451"/>
      <c r="E362" s="451"/>
      <c r="F362" s="451"/>
      <c r="G362" s="451"/>
      <c r="H362" s="451"/>
      <c r="I362" s="451"/>
      <c r="J362" s="451"/>
      <c r="K362" s="451"/>
      <c r="L362" s="451"/>
      <c r="M362" s="451"/>
      <c r="N362" s="451"/>
      <c r="O362" s="451"/>
      <c r="P362" s="277"/>
      <c r="Q362" s="277"/>
      <c r="R362" s="277"/>
      <c r="S362" s="277"/>
      <c r="T362" s="277"/>
      <c r="U362" s="277"/>
      <c r="V362" s="277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</row>
    <row r="363" ht="13.5" customHeight="1">
      <c r="A363" s="29"/>
      <c r="B363" s="435"/>
      <c r="C363" s="451"/>
      <c r="D363" s="451"/>
      <c r="E363" s="451"/>
      <c r="F363" s="451"/>
      <c r="G363" s="451"/>
      <c r="H363" s="451"/>
      <c r="I363" s="451"/>
      <c r="J363" s="451"/>
      <c r="K363" s="451"/>
      <c r="L363" s="451"/>
      <c r="M363" s="451"/>
      <c r="N363" s="451"/>
      <c r="O363" s="451"/>
      <c r="P363" s="277"/>
      <c r="Q363" s="277"/>
      <c r="R363" s="277"/>
      <c r="S363" s="277"/>
      <c r="T363" s="277"/>
      <c r="U363" s="277"/>
      <c r="V363" s="277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</row>
    <row r="364" ht="13.5" customHeight="1">
      <c r="A364" s="29"/>
      <c r="B364" s="435"/>
      <c r="C364" s="451"/>
      <c r="D364" s="451"/>
      <c r="E364" s="451"/>
      <c r="F364" s="451"/>
      <c r="G364" s="451"/>
      <c r="H364" s="451"/>
      <c r="I364" s="451"/>
      <c r="J364" s="451"/>
      <c r="K364" s="451"/>
      <c r="L364" s="451"/>
      <c r="M364" s="451"/>
      <c r="N364" s="451"/>
      <c r="O364" s="451"/>
      <c r="P364" s="277"/>
      <c r="Q364" s="277"/>
      <c r="R364" s="277"/>
      <c r="S364" s="277"/>
      <c r="T364" s="277"/>
      <c r="U364" s="277"/>
      <c r="V364" s="277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</row>
    <row r="365" ht="13.5" customHeight="1">
      <c r="A365" s="29"/>
      <c r="B365" s="435"/>
      <c r="C365" s="451"/>
      <c r="D365" s="451"/>
      <c r="E365" s="451"/>
      <c r="F365" s="451"/>
      <c r="G365" s="451"/>
      <c r="H365" s="451"/>
      <c r="I365" s="451"/>
      <c r="J365" s="451"/>
      <c r="K365" s="451"/>
      <c r="L365" s="451"/>
      <c r="M365" s="451"/>
      <c r="N365" s="451"/>
      <c r="O365" s="451"/>
      <c r="P365" s="277"/>
      <c r="Q365" s="277"/>
      <c r="R365" s="277"/>
      <c r="S365" s="277"/>
      <c r="T365" s="277"/>
      <c r="U365" s="277"/>
      <c r="V365" s="277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</row>
    <row r="366" ht="13.5" customHeight="1">
      <c r="A366" s="29"/>
      <c r="B366" s="435"/>
      <c r="C366" s="451"/>
      <c r="D366" s="451"/>
      <c r="E366" s="451"/>
      <c r="F366" s="451"/>
      <c r="G366" s="451"/>
      <c r="H366" s="451"/>
      <c r="I366" s="451"/>
      <c r="J366" s="451"/>
      <c r="K366" s="451"/>
      <c r="L366" s="451"/>
      <c r="M366" s="451"/>
      <c r="N366" s="451"/>
      <c r="O366" s="451"/>
      <c r="P366" s="277"/>
      <c r="Q366" s="277"/>
      <c r="R366" s="277"/>
      <c r="S366" s="277"/>
      <c r="T366" s="277"/>
      <c r="U366" s="277"/>
      <c r="V366" s="277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</row>
    <row r="367" ht="13.5" customHeight="1">
      <c r="A367" s="29"/>
      <c r="B367" s="435"/>
      <c r="C367" s="451"/>
      <c r="D367" s="451"/>
      <c r="E367" s="451"/>
      <c r="F367" s="451"/>
      <c r="G367" s="451"/>
      <c r="H367" s="451"/>
      <c r="I367" s="451"/>
      <c r="J367" s="451"/>
      <c r="K367" s="451"/>
      <c r="L367" s="451"/>
      <c r="M367" s="451"/>
      <c r="N367" s="451"/>
      <c r="O367" s="451"/>
      <c r="P367" s="277"/>
      <c r="Q367" s="277"/>
      <c r="R367" s="277"/>
      <c r="S367" s="277"/>
      <c r="T367" s="277"/>
      <c r="U367" s="277"/>
      <c r="V367" s="277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</row>
    <row r="368" ht="13.5" customHeight="1">
      <c r="A368" s="29"/>
      <c r="B368" s="435"/>
      <c r="C368" s="451"/>
      <c r="D368" s="451"/>
      <c r="E368" s="451"/>
      <c r="F368" s="451"/>
      <c r="G368" s="451"/>
      <c r="H368" s="451"/>
      <c r="I368" s="451"/>
      <c r="J368" s="451"/>
      <c r="K368" s="451"/>
      <c r="L368" s="451"/>
      <c r="M368" s="451"/>
      <c r="N368" s="451"/>
      <c r="O368" s="451"/>
      <c r="P368" s="277"/>
      <c r="Q368" s="277"/>
      <c r="R368" s="277"/>
      <c r="S368" s="277"/>
      <c r="T368" s="277"/>
      <c r="U368" s="277"/>
      <c r="V368" s="277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</row>
    <row r="369" ht="13.5" customHeight="1">
      <c r="A369" s="29"/>
      <c r="B369" s="435"/>
      <c r="C369" s="451"/>
      <c r="D369" s="451"/>
      <c r="E369" s="451"/>
      <c r="F369" s="451"/>
      <c r="G369" s="451"/>
      <c r="H369" s="451"/>
      <c r="I369" s="451"/>
      <c r="J369" s="451"/>
      <c r="K369" s="451"/>
      <c r="L369" s="451"/>
      <c r="M369" s="451"/>
      <c r="N369" s="451"/>
      <c r="O369" s="451"/>
      <c r="P369" s="277"/>
      <c r="Q369" s="277"/>
      <c r="R369" s="277"/>
      <c r="S369" s="277"/>
      <c r="T369" s="277"/>
      <c r="U369" s="277"/>
      <c r="V369" s="277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</row>
    <row r="370" ht="13.5" customHeight="1">
      <c r="A370" s="29"/>
      <c r="B370" s="435"/>
      <c r="C370" s="451"/>
      <c r="D370" s="451"/>
      <c r="E370" s="451"/>
      <c r="F370" s="451"/>
      <c r="G370" s="451"/>
      <c r="H370" s="451"/>
      <c r="I370" s="451"/>
      <c r="J370" s="451"/>
      <c r="K370" s="451"/>
      <c r="L370" s="451"/>
      <c r="M370" s="451"/>
      <c r="N370" s="451"/>
      <c r="O370" s="451"/>
      <c r="P370" s="277"/>
      <c r="Q370" s="277"/>
      <c r="R370" s="277"/>
      <c r="S370" s="277"/>
      <c r="T370" s="277"/>
      <c r="U370" s="277"/>
      <c r="V370" s="277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</row>
    <row r="371" ht="13.5" customHeight="1">
      <c r="A371" s="29"/>
      <c r="B371" s="435"/>
      <c r="C371" s="451"/>
      <c r="D371" s="451"/>
      <c r="E371" s="451"/>
      <c r="F371" s="451"/>
      <c r="G371" s="451"/>
      <c r="H371" s="451"/>
      <c r="I371" s="451"/>
      <c r="J371" s="451"/>
      <c r="K371" s="451"/>
      <c r="L371" s="451"/>
      <c r="M371" s="451"/>
      <c r="N371" s="451"/>
      <c r="O371" s="451"/>
      <c r="P371" s="277"/>
      <c r="Q371" s="277"/>
      <c r="R371" s="277"/>
      <c r="S371" s="277"/>
      <c r="T371" s="277"/>
      <c r="U371" s="277"/>
      <c r="V371" s="277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</row>
    <row r="372" ht="13.5" customHeight="1">
      <c r="A372" s="29"/>
      <c r="B372" s="435"/>
      <c r="C372" s="451"/>
      <c r="D372" s="451"/>
      <c r="E372" s="451"/>
      <c r="F372" s="451"/>
      <c r="G372" s="451"/>
      <c r="H372" s="451"/>
      <c r="I372" s="451"/>
      <c r="J372" s="451"/>
      <c r="K372" s="451"/>
      <c r="L372" s="451"/>
      <c r="M372" s="451"/>
      <c r="N372" s="451"/>
      <c r="O372" s="451"/>
      <c r="P372" s="277"/>
      <c r="Q372" s="277"/>
      <c r="R372" s="277"/>
      <c r="S372" s="277"/>
      <c r="T372" s="277"/>
      <c r="U372" s="277"/>
      <c r="V372" s="277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</row>
    <row r="373" ht="13.5" customHeight="1">
      <c r="A373" s="29"/>
      <c r="B373" s="435"/>
      <c r="C373" s="451"/>
      <c r="D373" s="451"/>
      <c r="E373" s="451"/>
      <c r="F373" s="451"/>
      <c r="G373" s="451"/>
      <c r="H373" s="451"/>
      <c r="I373" s="451"/>
      <c r="J373" s="451"/>
      <c r="K373" s="451"/>
      <c r="L373" s="451"/>
      <c r="M373" s="451"/>
      <c r="N373" s="451"/>
      <c r="O373" s="451"/>
      <c r="P373" s="277"/>
      <c r="Q373" s="277"/>
      <c r="R373" s="277"/>
      <c r="S373" s="277"/>
      <c r="T373" s="277"/>
      <c r="U373" s="277"/>
      <c r="V373" s="277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</row>
    <row r="374" ht="13.5" customHeight="1">
      <c r="A374" s="29"/>
      <c r="B374" s="435"/>
      <c r="C374" s="451"/>
      <c r="D374" s="451"/>
      <c r="E374" s="451"/>
      <c r="F374" s="451"/>
      <c r="G374" s="451"/>
      <c r="H374" s="451"/>
      <c r="I374" s="451"/>
      <c r="J374" s="451"/>
      <c r="K374" s="451"/>
      <c r="L374" s="451"/>
      <c r="M374" s="451"/>
      <c r="N374" s="451"/>
      <c r="O374" s="451"/>
      <c r="P374" s="277"/>
      <c r="Q374" s="277"/>
      <c r="R374" s="277"/>
      <c r="S374" s="277"/>
      <c r="T374" s="277"/>
      <c r="U374" s="277"/>
      <c r="V374" s="277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</row>
    <row r="375" ht="13.5" customHeight="1">
      <c r="A375" s="29"/>
      <c r="B375" s="435"/>
      <c r="C375" s="451"/>
      <c r="D375" s="451"/>
      <c r="E375" s="451"/>
      <c r="F375" s="451"/>
      <c r="G375" s="451"/>
      <c r="H375" s="451"/>
      <c r="I375" s="451"/>
      <c r="J375" s="451"/>
      <c r="K375" s="451"/>
      <c r="L375" s="451"/>
      <c r="M375" s="451"/>
      <c r="N375" s="451"/>
      <c r="O375" s="451"/>
      <c r="P375" s="277"/>
      <c r="Q375" s="277"/>
      <c r="R375" s="277"/>
      <c r="S375" s="277"/>
      <c r="T375" s="277"/>
      <c r="U375" s="277"/>
      <c r="V375" s="277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</row>
    <row r="376" ht="13.5" customHeight="1">
      <c r="A376" s="29"/>
      <c r="B376" s="435"/>
      <c r="C376" s="451"/>
      <c r="D376" s="451"/>
      <c r="E376" s="451"/>
      <c r="F376" s="451"/>
      <c r="G376" s="451"/>
      <c r="H376" s="451"/>
      <c r="I376" s="451"/>
      <c r="J376" s="451"/>
      <c r="K376" s="451"/>
      <c r="L376" s="451"/>
      <c r="M376" s="451"/>
      <c r="N376" s="451"/>
      <c r="O376" s="451"/>
      <c r="P376" s="277"/>
      <c r="Q376" s="277"/>
      <c r="R376" s="277"/>
      <c r="S376" s="277"/>
      <c r="T376" s="277"/>
      <c r="U376" s="277"/>
      <c r="V376" s="277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</row>
    <row r="377" ht="13.5" customHeight="1">
      <c r="A377" s="29"/>
      <c r="B377" s="435"/>
      <c r="C377" s="451"/>
      <c r="D377" s="451"/>
      <c r="E377" s="451"/>
      <c r="F377" s="451"/>
      <c r="G377" s="451"/>
      <c r="H377" s="451"/>
      <c r="I377" s="451"/>
      <c r="J377" s="451"/>
      <c r="K377" s="451"/>
      <c r="L377" s="451"/>
      <c r="M377" s="451"/>
      <c r="N377" s="451"/>
      <c r="O377" s="451"/>
      <c r="P377" s="277"/>
      <c r="Q377" s="277"/>
      <c r="R377" s="277"/>
      <c r="S377" s="277"/>
      <c r="T377" s="277"/>
      <c r="U377" s="277"/>
      <c r="V377" s="277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</row>
    <row r="378" ht="13.5" customHeight="1">
      <c r="A378" s="29"/>
      <c r="B378" s="435"/>
      <c r="C378" s="451"/>
      <c r="D378" s="451"/>
      <c r="E378" s="451"/>
      <c r="F378" s="451"/>
      <c r="G378" s="451"/>
      <c r="H378" s="451"/>
      <c r="I378" s="451"/>
      <c r="J378" s="451"/>
      <c r="K378" s="451"/>
      <c r="L378" s="451"/>
      <c r="M378" s="451"/>
      <c r="N378" s="451"/>
      <c r="O378" s="451"/>
      <c r="P378" s="277"/>
      <c r="Q378" s="277"/>
      <c r="R378" s="277"/>
      <c r="S378" s="277"/>
      <c r="T378" s="277"/>
      <c r="U378" s="277"/>
      <c r="V378" s="277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</row>
    <row r="379" ht="13.5" customHeight="1">
      <c r="A379" s="29"/>
      <c r="B379" s="435"/>
      <c r="C379" s="451"/>
      <c r="D379" s="451"/>
      <c r="E379" s="451"/>
      <c r="F379" s="451"/>
      <c r="G379" s="451"/>
      <c r="H379" s="451"/>
      <c r="I379" s="451"/>
      <c r="J379" s="451"/>
      <c r="K379" s="451"/>
      <c r="L379" s="451"/>
      <c r="M379" s="451"/>
      <c r="N379" s="451"/>
      <c r="O379" s="451"/>
      <c r="P379" s="277"/>
      <c r="Q379" s="277"/>
      <c r="R379" s="277"/>
      <c r="S379" s="277"/>
      <c r="T379" s="277"/>
      <c r="U379" s="277"/>
      <c r="V379" s="277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</row>
    <row r="380" ht="13.5" customHeight="1">
      <c r="A380" s="29"/>
      <c r="B380" s="435"/>
      <c r="C380" s="451"/>
      <c r="D380" s="451"/>
      <c r="E380" s="451"/>
      <c r="F380" s="451"/>
      <c r="G380" s="451"/>
      <c r="H380" s="451"/>
      <c r="I380" s="451"/>
      <c r="J380" s="451"/>
      <c r="K380" s="451"/>
      <c r="L380" s="451"/>
      <c r="M380" s="451"/>
      <c r="N380" s="451"/>
      <c r="O380" s="451"/>
      <c r="P380" s="277"/>
      <c r="Q380" s="277"/>
      <c r="R380" s="277"/>
      <c r="S380" s="277"/>
      <c r="T380" s="277"/>
      <c r="U380" s="277"/>
      <c r="V380" s="277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</row>
    <row r="381" ht="13.5" customHeight="1">
      <c r="A381" s="29"/>
      <c r="B381" s="435"/>
      <c r="C381" s="451"/>
      <c r="D381" s="451"/>
      <c r="E381" s="451"/>
      <c r="F381" s="451"/>
      <c r="G381" s="451"/>
      <c r="H381" s="451"/>
      <c r="I381" s="451"/>
      <c r="J381" s="451"/>
      <c r="K381" s="451"/>
      <c r="L381" s="451"/>
      <c r="M381" s="451"/>
      <c r="N381" s="451"/>
      <c r="O381" s="451"/>
      <c r="P381" s="277"/>
      <c r="Q381" s="277"/>
      <c r="R381" s="277"/>
      <c r="S381" s="277"/>
      <c r="T381" s="277"/>
      <c r="U381" s="277"/>
      <c r="V381" s="277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</row>
    <row r="382" ht="13.5" customHeight="1">
      <c r="A382" s="29"/>
      <c r="B382" s="435"/>
      <c r="C382" s="451"/>
      <c r="D382" s="451"/>
      <c r="E382" s="451"/>
      <c r="F382" s="451"/>
      <c r="G382" s="451"/>
      <c r="H382" s="451"/>
      <c r="I382" s="451"/>
      <c r="J382" s="451"/>
      <c r="K382" s="451"/>
      <c r="L382" s="451"/>
      <c r="M382" s="451"/>
      <c r="N382" s="451"/>
      <c r="O382" s="451"/>
      <c r="P382" s="277"/>
      <c r="Q382" s="277"/>
      <c r="R382" s="277"/>
      <c r="S382" s="277"/>
      <c r="T382" s="277"/>
      <c r="U382" s="277"/>
      <c r="V382" s="277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</row>
    <row r="383" ht="13.5" customHeight="1">
      <c r="A383" s="29"/>
      <c r="B383" s="435"/>
      <c r="C383" s="451"/>
      <c r="D383" s="451"/>
      <c r="E383" s="451"/>
      <c r="F383" s="451"/>
      <c r="G383" s="451"/>
      <c r="H383" s="451"/>
      <c r="I383" s="451"/>
      <c r="J383" s="451"/>
      <c r="K383" s="451"/>
      <c r="L383" s="451"/>
      <c r="M383" s="451"/>
      <c r="N383" s="451"/>
      <c r="O383" s="451"/>
      <c r="P383" s="277"/>
      <c r="Q383" s="277"/>
      <c r="R383" s="277"/>
      <c r="S383" s="277"/>
      <c r="T383" s="277"/>
      <c r="U383" s="277"/>
      <c r="V383" s="277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</row>
    <row r="384" ht="13.5" customHeight="1">
      <c r="A384" s="29"/>
      <c r="B384" s="435"/>
      <c r="C384" s="451"/>
      <c r="D384" s="451"/>
      <c r="E384" s="451"/>
      <c r="F384" s="451"/>
      <c r="G384" s="451"/>
      <c r="H384" s="451"/>
      <c r="I384" s="451"/>
      <c r="J384" s="451"/>
      <c r="K384" s="451"/>
      <c r="L384" s="451"/>
      <c r="M384" s="451"/>
      <c r="N384" s="451"/>
      <c r="O384" s="451"/>
      <c r="P384" s="277"/>
      <c r="Q384" s="277"/>
      <c r="R384" s="277"/>
      <c r="S384" s="277"/>
      <c r="T384" s="277"/>
      <c r="U384" s="277"/>
      <c r="V384" s="277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</row>
    <row r="385" ht="13.5" customHeight="1">
      <c r="A385" s="29"/>
      <c r="B385" s="435"/>
      <c r="C385" s="451"/>
      <c r="D385" s="451"/>
      <c r="E385" s="451"/>
      <c r="F385" s="451"/>
      <c r="G385" s="451"/>
      <c r="H385" s="451"/>
      <c r="I385" s="451"/>
      <c r="J385" s="451"/>
      <c r="K385" s="451"/>
      <c r="L385" s="451"/>
      <c r="M385" s="451"/>
      <c r="N385" s="451"/>
      <c r="O385" s="451"/>
      <c r="P385" s="277"/>
      <c r="Q385" s="277"/>
      <c r="R385" s="277"/>
      <c r="S385" s="277"/>
      <c r="T385" s="277"/>
      <c r="U385" s="277"/>
      <c r="V385" s="277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</row>
    <row r="386" ht="13.5" customHeight="1">
      <c r="A386" s="29"/>
      <c r="B386" s="435"/>
      <c r="C386" s="451"/>
      <c r="D386" s="451"/>
      <c r="E386" s="451"/>
      <c r="F386" s="451"/>
      <c r="G386" s="451"/>
      <c r="H386" s="451"/>
      <c r="I386" s="451"/>
      <c r="J386" s="451"/>
      <c r="K386" s="451"/>
      <c r="L386" s="451"/>
      <c r="M386" s="451"/>
      <c r="N386" s="451"/>
      <c r="O386" s="451"/>
      <c r="P386" s="277"/>
      <c r="Q386" s="277"/>
      <c r="R386" s="277"/>
      <c r="S386" s="277"/>
      <c r="T386" s="277"/>
      <c r="U386" s="277"/>
      <c r="V386" s="277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</row>
    <row r="387" ht="13.5" customHeight="1">
      <c r="A387" s="29"/>
      <c r="B387" s="435"/>
      <c r="C387" s="451"/>
      <c r="D387" s="451"/>
      <c r="E387" s="451"/>
      <c r="F387" s="451"/>
      <c r="G387" s="451"/>
      <c r="H387" s="451"/>
      <c r="I387" s="451"/>
      <c r="J387" s="451"/>
      <c r="K387" s="451"/>
      <c r="L387" s="451"/>
      <c r="M387" s="451"/>
      <c r="N387" s="451"/>
      <c r="O387" s="451"/>
      <c r="P387" s="277"/>
      <c r="Q387" s="277"/>
      <c r="R387" s="277"/>
      <c r="S387" s="277"/>
      <c r="T387" s="277"/>
      <c r="U387" s="277"/>
      <c r="V387" s="277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</row>
    <row r="388" ht="13.5" customHeight="1">
      <c r="A388" s="29"/>
      <c r="B388" s="435"/>
      <c r="C388" s="451"/>
      <c r="D388" s="451"/>
      <c r="E388" s="451"/>
      <c r="F388" s="451"/>
      <c r="G388" s="451"/>
      <c r="H388" s="451"/>
      <c r="I388" s="451"/>
      <c r="J388" s="451"/>
      <c r="K388" s="451"/>
      <c r="L388" s="451"/>
      <c r="M388" s="451"/>
      <c r="N388" s="451"/>
      <c r="O388" s="451"/>
      <c r="P388" s="277"/>
      <c r="Q388" s="277"/>
      <c r="R388" s="277"/>
      <c r="S388" s="277"/>
      <c r="T388" s="277"/>
      <c r="U388" s="277"/>
      <c r="V388" s="277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</row>
    <row r="389" ht="13.5" customHeight="1">
      <c r="A389" s="29"/>
      <c r="B389" s="435"/>
      <c r="C389" s="451"/>
      <c r="D389" s="451"/>
      <c r="E389" s="451"/>
      <c r="F389" s="451"/>
      <c r="G389" s="451"/>
      <c r="H389" s="451"/>
      <c r="I389" s="451"/>
      <c r="J389" s="451"/>
      <c r="K389" s="451"/>
      <c r="L389" s="451"/>
      <c r="M389" s="451"/>
      <c r="N389" s="451"/>
      <c r="O389" s="451"/>
      <c r="P389" s="277"/>
      <c r="Q389" s="277"/>
      <c r="R389" s="277"/>
      <c r="S389" s="277"/>
      <c r="T389" s="277"/>
      <c r="U389" s="277"/>
      <c r="V389" s="277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</row>
    <row r="390" ht="13.5" customHeight="1">
      <c r="A390" s="29"/>
      <c r="B390" s="435"/>
      <c r="C390" s="451"/>
      <c r="D390" s="451"/>
      <c r="E390" s="451"/>
      <c r="F390" s="451"/>
      <c r="G390" s="451"/>
      <c r="H390" s="451"/>
      <c r="I390" s="451"/>
      <c r="J390" s="451"/>
      <c r="K390" s="451"/>
      <c r="L390" s="451"/>
      <c r="M390" s="451"/>
      <c r="N390" s="451"/>
      <c r="O390" s="451"/>
      <c r="P390" s="277"/>
      <c r="Q390" s="277"/>
      <c r="R390" s="277"/>
      <c r="S390" s="277"/>
      <c r="T390" s="277"/>
      <c r="U390" s="277"/>
      <c r="V390" s="277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</row>
    <row r="391" ht="13.5" customHeight="1">
      <c r="A391" s="29"/>
      <c r="B391" s="435"/>
      <c r="C391" s="451"/>
      <c r="D391" s="451"/>
      <c r="E391" s="451"/>
      <c r="F391" s="451"/>
      <c r="G391" s="451"/>
      <c r="H391" s="451"/>
      <c r="I391" s="451"/>
      <c r="J391" s="451"/>
      <c r="K391" s="451"/>
      <c r="L391" s="451"/>
      <c r="M391" s="451"/>
      <c r="N391" s="451"/>
      <c r="O391" s="451"/>
      <c r="P391" s="277"/>
      <c r="Q391" s="277"/>
      <c r="R391" s="277"/>
      <c r="S391" s="277"/>
      <c r="T391" s="277"/>
      <c r="U391" s="277"/>
      <c r="V391" s="277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</row>
    <row r="392" ht="13.5" customHeight="1">
      <c r="A392" s="29"/>
      <c r="B392" s="435"/>
      <c r="C392" s="451"/>
      <c r="D392" s="451"/>
      <c r="E392" s="451"/>
      <c r="F392" s="451"/>
      <c r="G392" s="451"/>
      <c r="H392" s="451"/>
      <c r="I392" s="451"/>
      <c r="J392" s="451"/>
      <c r="K392" s="451"/>
      <c r="L392" s="451"/>
      <c r="M392" s="451"/>
      <c r="N392" s="451"/>
      <c r="O392" s="451"/>
      <c r="P392" s="277"/>
      <c r="Q392" s="277"/>
      <c r="R392" s="277"/>
      <c r="S392" s="277"/>
      <c r="T392" s="277"/>
      <c r="U392" s="277"/>
      <c r="V392" s="277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</row>
    <row r="393" ht="13.5" customHeight="1">
      <c r="A393" s="29"/>
      <c r="B393" s="435"/>
      <c r="C393" s="451"/>
      <c r="D393" s="451"/>
      <c r="E393" s="451"/>
      <c r="F393" s="451"/>
      <c r="G393" s="451"/>
      <c r="H393" s="451"/>
      <c r="I393" s="451"/>
      <c r="J393" s="451"/>
      <c r="K393" s="451"/>
      <c r="L393" s="451"/>
      <c r="M393" s="451"/>
      <c r="N393" s="451"/>
      <c r="O393" s="451"/>
      <c r="P393" s="277"/>
      <c r="Q393" s="277"/>
      <c r="R393" s="277"/>
      <c r="S393" s="277"/>
      <c r="T393" s="277"/>
      <c r="U393" s="277"/>
      <c r="V393" s="277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</row>
    <row r="394" ht="13.5" customHeight="1">
      <c r="A394" s="29"/>
      <c r="B394" s="435"/>
      <c r="C394" s="451"/>
      <c r="D394" s="451"/>
      <c r="E394" s="451"/>
      <c r="F394" s="451"/>
      <c r="G394" s="451"/>
      <c r="H394" s="451"/>
      <c r="I394" s="451"/>
      <c r="J394" s="451"/>
      <c r="K394" s="451"/>
      <c r="L394" s="451"/>
      <c r="M394" s="451"/>
      <c r="N394" s="451"/>
      <c r="O394" s="451"/>
      <c r="P394" s="277"/>
      <c r="Q394" s="277"/>
      <c r="R394" s="277"/>
      <c r="S394" s="277"/>
      <c r="T394" s="277"/>
      <c r="U394" s="277"/>
      <c r="V394" s="277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</row>
    <row r="395" ht="13.5" customHeight="1">
      <c r="A395" s="29"/>
      <c r="B395" s="435"/>
      <c r="C395" s="451"/>
      <c r="D395" s="451"/>
      <c r="E395" s="451"/>
      <c r="F395" s="451"/>
      <c r="G395" s="451"/>
      <c r="H395" s="451"/>
      <c r="I395" s="451"/>
      <c r="J395" s="451"/>
      <c r="K395" s="451"/>
      <c r="L395" s="451"/>
      <c r="M395" s="451"/>
      <c r="N395" s="451"/>
      <c r="O395" s="451"/>
      <c r="P395" s="277"/>
      <c r="Q395" s="277"/>
      <c r="R395" s="277"/>
      <c r="S395" s="277"/>
      <c r="T395" s="277"/>
      <c r="U395" s="277"/>
      <c r="V395" s="277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</row>
    <row r="396" ht="13.5" customHeight="1">
      <c r="A396" s="29"/>
      <c r="B396" s="435"/>
      <c r="C396" s="435"/>
      <c r="D396" s="435"/>
      <c r="E396" s="435"/>
      <c r="F396" s="435"/>
      <c r="G396" s="435"/>
      <c r="H396" s="435"/>
      <c r="I396" s="435"/>
      <c r="J396" s="435"/>
      <c r="K396" s="435"/>
      <c r="L396" s="435"/>
      <c r="M396" s="435"/>
      <c r="N396" s="435"/>
      <c r="O396" s="435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</row>
    <row r="397" ht="13.5" customHeight="1">
      <c r="A397" s="29"/>
      <c r="B397" s="435"/>
      <c r="C397" s="435"/>
      <c r="D397" s="435"/>
      <c r="E397" s="435"/>
      <c r="F397" s="435"/>
      <c r="G397" s="435"/>
      <c r="H397" s="435"/>
      <c r="I397" s="435"/>
      <c r="J397" s="435"/>
      <c r="K397" s="435"/>
      <c r="L397" s="435"/>
      <c r="M397" s="435"/>
      <c r="N397" s="435"/>
      <c r="O397" s="435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</row>
    <row r="398" ht="13.5" customHeight="1">
      <c r="A398" s="29"/>
      <c r="B398" s="435"/>
      <c r="C398" s="435"/>
      <c r="D398" s="435"/>
      <c r="E398" s="435"/>
      <c r="F398" s="435"/>
      <c r="G398" s="435"/>
      <c r="H398" s="435"/>
      <c r="I398" s="435"/>
      <c r="J398" s="435"/>
      <c r="K398" s="435"/>
      <c r="L398" s="435"/>
      <c r="M398" s="435"/>
      <c r="N398" s="435"/>
      <c r="O398" s="435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</row>
    <row r="399" ht="13.5" customHeight="1">
      <c r="A399" s="29"/>
      <c r="B399" s="435"/>
      <c r="C399" s="435"/>
      <c r="D399" s="435"/>
      <c r="E399" s="435"/>
      <c r="F399" s="435"/>
      <c r="G399" s="435"/>
      <c r="H399" s="435"/>
      <c r="I399" s="435"/>
      <c r="J399" s="435"/>
      <c r="K399" s="435"/>
      <c r="L399" s="435"/>
      <c r="M399" s="435"/>
      <c r="N399" s="435"/>
      <c r="O399" s="435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</row>
    <row r="400" ht="13.5" customHeight="1">
      <c r="A400" s="29"/>
      <c r="B400" s="435"/>
      <c r="C400" s="435"/>
      <c r="D400" s="435"/>
      <c r="E400" s="435"/>
      <c r="F400" s="435"/>
      <c r="G400" s="435"/>
      <c r="H400" s="435"/>
      <c r="I400" s="435"/>
      <c r="J400" s="435"/>
      <c r="K400" s="435"/>
      <c r="L400" s="435"/>
      <c r="M400" s="435"/>
      <c r="N400" s="435"/>
      <c r="O400" s="435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</row>
    <row r="401" ht="13.5" customHeight="1">
      <c r="A401" s="29"/>
      <c r="B401" s="435"/>
      <c r="C401" s="435"/>
      <c r="D401" s="435"/>
      <c r="E401" s="435"/>
      <c r="F401" s="435"/>
      <c r="G401" s="435"/>
      <c r="H401" s="435"/>
      <c r="I401" s="435"/>
      <c r="J401" s="435"/>
      <c r="K401" s="435"/>
      <c r="L401" s="435"/>
      <c r="M401" s="435"/>
      <c r="N401" s="435"/>
      <c r="O401" s="435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</row>
    <row r="402" ht="13.5" customHeight="1">
      <c r="A402" s="29"/>
      <c r="B402" s="435"/>
      <c r="C402" s="435"/>
      <c r="D402" s="435"/>
      <c r="E402" s="435"/>
      <c r="F402" s="435"/>
      <c r="G402" s="435"/>
      <c r="H402" s="435"/>
      <c r="I402" s="435"/>
      <c r="J402" s="435"/>
      <c r="K402" s="435"/>
      <c r="L402" s="435"/>
      <c r="M402" s="435"/>
      <c r="N402" s="435"/>
      <c r="O402" s="435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</row>
    <row r="403" ht="13.5" customHeight="1">
      <c r="A403" s="29"/>
      <c r="B403" s="435"/>
      <c r="C403" s="435"/>
      <c r="D403" s="435"/>
      <c r="E403" s="435"/>
      <c r="F403" s="435"/>
      <c r="G403" s="435"/>
      <c r="H403" s="435"/>
      <c r="I403" s="435"/>
      <c r="J403" s="435"/>
      <c r="K403" s="435"/>
      <c r="L403" s="435"/>
      <c r="M403" s="435"/>
      <c r="N403" s="435"/>
      <c r="O403" s="435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</row>
    <row r="404" ht="13.5" customHeight="1">
      <c r="A404" s="29"/>
      <c r="B404" s="435"/>
      <c r="C404" s="435"/>
      <c r="D404" s="435"/>
      <c r="E404" s="435"/>
      <c r="F404" s="435"/>
      <c r="G404" s="435"/>
      <c r="H404" s="435"/>
      <c r="I404" s="435"/>
      <c r="J404" s="435"/>
      <c r="K404" s="435"/>
      <c r="L404" s="435"/>
      <c r="M404" s="435"/>
      <c r="N404" s="435"/>
      <c r="O404" s="435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</row>
    <row r="405" ht="13.5" customHeight="1">
      <c r="A405" s="29"/>
      <c r="B405" s="435"/>
      <c r="C405" s="435"/>
      <c r="D405" s="435"/>
      <c r="E405" s="435"/>
      <c r="F405" s="435"/>
      <c r="G405" s="435"/>
      <c r="H405" s="435"/>
      <c r="I405" s="435"/>
      <c r="J405" s="435"/>
      <c r="K405" s="435"/>
      <c r="L405" s="435"/>
      <c r="M405" s="435"/>
      <c r="N405" s="435"/>
      <c r="O405" s="435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</row>
    <row r="406" ht="13.5" customHeight="1">
      <c r="A406" s="29"/>
      <c r="B406" s="435"/>
      <c r="C406" s="435"/>
      <c r="D406" s="435"/>
      <c r="E406" s="435"/>
      <c r="F406" s="435"/>
      <c r="G406" s="435"/>
      <c r="H406" s="435"/>
      <c r="I406" s="435"/>
      <c r="J406" s="435"/>
      <c r="K406" s="435"/>
      <c r="L406" s="435"/>
      <c r="M406" s="435"/>
      <c r="N406" s="435"/>
      <c r="O406" s="435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</row>
    <row r="407" ht="13.5" customHeight="1">
      <c r="A407" s="29"/>
      <c r="B407" s="435"/>
      <c r="C407" s="435"/>
      <c r="D407" s="435"/>
      <c r="E407" s="435"/>
      <c r="F407" s="435"/>
      <c r="G407" s="435"/>
      <c r="H407" s="435"/>
      <c r="I407" s="435"/>
      <c r="J407" s="435"/>
      <c r="K407" s="435"/>
      <c r="L407" s="435"/>
      <c r="M407" s="435"/>
      <c r="N407" s="435"/>
      <c r="O407" s="435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</row>
    <row r="408" ht="13.5" customHeight="1">
      <c r="A408" s="29"/>
      <c r="B408" s="435"/>
      <c r="C408" s="435"/>
      <c r="D408" s="435"/>
      <c r="E408" s="435"/>
      <c r="F408" s="435"/>
      <c r="G408" s="435"/>
      <c r="H408" s="435"/>
      <c r="I408" s="435"/>
      <c r="J408" s="435"/>
      <c r="K408" s="435"/>
      <c r="L408" s="435"/>
      <c r="M408" s="435"/>
      <c r="N408" s="435"/>
      <c r="O408" s="435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</row>
    <row r="409" ht="13.5" customHeight="1">
      <c r="A409" s="29"/>
      <c r="B409" s="435"/>
      <c r="C409" s="435"/>
      <c r="D409" s="435"/>
      <c r="E409" s="435"/>
      <c r="F409" s="435"/>
      <c r="G409" s="435"/>
      <c r="H409" s="435"/>
      <c r="I409" s="435"/>
      <c r="J409" s="435"/>
      <c r="K409" s="435"/>
      <c r="L409" s="435"/>
      <c r="M409" s="435"/>
      <c r="N409" s="435"/>
      <c r="O409" s="435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</row>
    <row r="410" ht="13.5" customHeight="1">
      <c r="A410" s="29"/>
      <c r="B410" s="435"/>
      <c r="C410" s="435"/>
      <c r="D410" s="435"/>
      <c r="E410" s="435"/>
      <c r="F410" s="435"/>
      <c r="G410" s="435"/>
      <c r="H410" s="435"/>
      <c r="I410" s="435"/>
      <c r="J410" s="435"/>
      <c r="K410" s="435"/>
      <c r="L410" s="435"/>
      <c r="M410" s="435"/>
      <c r="N410" s="435"/>
      <c r="O410" s="435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</row>
    <row r="411" ht="13.5" customHeight="1">
      <c r="A411" s="29"/>
      <c r="B411" s="435"/>
      <c r="C411" s="435"/>
      <c r="D411" s="435"/>
      <c r="E411" s="435"/>
      <c r="F411" s="435"/>
      <c r="G411" s="435"/>
      <c r="H411" s="435"/>
      <c r="I411" s="435"/>
      <c r="J411" s="435"/>
      <c r="K411" s="435"/>
      <c r="L411" s="435"/>
      <c r="M411" s="435"/>
      <c r="N411" s="435"/>
      <c r="O411" s="435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</row>
    <row r="412" ht="13.5" customHeight="1">
      <c r="A412" s="29"/>
      <c r="B412" s="435"/>
      <c r="C412" s="435"/>
      <c r="D412" s="435"/>
      <c r="E412" s="435"/>
      <c r="F412" s="435"/>
      <c r="G412" s="435"/>
      <c r="H412" s="435"/>
      <c r="I412" s="435"/>
      <c r="J412" s="435"/>
      <c r="K412" s="435"/>
      <c r="L412" s="435"/>
      <c r="M412" s="435"/>
      <c r="N412" s="435"/>
      <c r="O412" s="435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</row>
    <row r="413" ht="13.5" customHeight="1">
      <c r="A413" s="29"/>
      <c r="B413" s="435"/>
      <c r="C413" s="435"/>
      <c r="D413" s="435"/>
      <c r="E413" s="435"/>
      <c r="F413" s="435"/>
      <c r="G413" s="435"/>
      <c r="H413" s="435"/>
      <c r="I413" s="435"/>
      <c r="J413" s="435"/>
      <c r="K413" s="435"/>
      <c r="L413" s="435"/>
      <c r="M413" s="435"/>
      <c r="N413" s="435"/>
      <c r="O413" s="435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</row>
    <row r="414" ht="13.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</row>
    <row r="415" ht="13.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</row>
    <row r="416" ht="13.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</row>
    <row r="417" ht="13.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</row>
    <row r="418" ht="13.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</row>
    <row r="419" ht="13.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</row>
    <row r="420" ht="13.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</row>
    <row r="421" ht="13.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</row>
    <row r="422" ht="13.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</row>
    <row r="423" ht="13.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</row>
    <row r="424" ht="13.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</row>
    <row r="425" ht="13.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</row>
    <row r="426" ht="13.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</row>
    <row r="427" ht="13.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</row>
    <row r="428" ht="13.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</row>
    <row r="429" ht="13.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</row>
    <row r="430" ht="13.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</row>
    <row r="431" ht="13.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</row>
    <row r="432" ht="13.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</row>
    <row r="433" ht="13.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</row>
    <row r="434" ht="13.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</row>
    <row r="435" ht="13.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</row>
    <row r="436" ht="13.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</row>
    <row r="437" ht="13.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</row>
    <row r="438" ht="13.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</row>
    <row r="439" ht="13.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</row>
    <row r="440" ht="13.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</row>
    <row r="441" ht="13.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</row>
    <row r="442" ht="13.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</row>
    <row r="443" ht="13.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</row>
    <row r="444" ht="13.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</row>
    <row r="445" ht="13.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</row>
    <row r="446" ht="13.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</row>
    <row r="447" ht="13.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</row>
    <row r="448" ht="13.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</row>
    <row r="449" ht="13.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</row>
    <row r="450" ht="13.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</row>
    <row r="451" ht="13.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</row>
    <row r="452" ht="13.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</row>
    <row r="453" ht="13.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</row>
    <row r="454" ht="13.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</row>
    <row r="455" ht="13.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</row>
    <row r="456" ht="13.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</row>
    <row r="457" ht="13.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</row>
    <row r="458" ht="13.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</row>
    <row r="459" ht="13.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</row>
    <row r="460" ht="13.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</row>
    <row r="461" ht="13.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</row>
    <row r="462" ht="13.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</row>
    <row r="463" ht="13.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</row>
    <row r="464" ht="13.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</row>
    <row r="465" ht="13.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</row>
    <row r="466" ht="13.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</row>
    <row r="467" ht="13.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</row>
    <row r="468" ht="13.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</row>
    <row r="469" ht="13.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</row>
    <row r="470" ht="13.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</row>
    <row r="471" ht="13.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</row>
    <row r="472" ht="13.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</row>
    <row r="473" ht="13.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</row>
    <row r="474" ht="13.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</row>
    <row r="475" ht="13.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</row>
    <row r="476" ht="13.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</row>
    <row r="477" ht="13.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</row>
    <row r="478" ht="13.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</row>
    <row r="479" ht="13.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</row>
    <row r="480" ht="13.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</row>
    <row r="481" ht="13.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</row>
    <row r="482" ht="13.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</row>
    <row r="483" ht="13.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</row>
    <row r="484" ht="13.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</row>
    <row r="485" ht="13.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</row>
    <row r="486" ht="13.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</row>
    <row r="487" ht="13.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</row>
    <row r="488" ht="13.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</row>
    <row r="489" ht="13.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</row>
    <row r="490" ht="13.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</row>
    <row r="491" ht="13.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</row>
    <row r="492" ht="13.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</row>
    <row r="493" ht="13.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</row>
    <row r="494" ht="13.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</row>
    <row r="495" ht="13.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</row>
    <row r="496" ht="13.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</row>
    <row r="497" ht="13.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</row>
    <row r="498" ht="13.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</row>
    <row r="499" ht="13.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</row>
    <row r="500" ht="13.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</row>
    <row r="501" ht="13.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</row>
    <row r="502" ht="13.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</row>
    <row r="503" ht="13.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</row>
    <row r="504" ht="13.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</row>
    <row r="505" ht="13.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</row>
    <row r="506" ht="13.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</row>
    <row r="507" ht="13.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</row>
    <row r="508" ht="13.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</row>
    <row r="509" ht="13.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</row>
    <row r="510" ht="13.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</row>
    <row r="511" ht="13.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</row>
    <row r="512" ht="13.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</row>
    <row r="513" ht="13.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</row>
    <row r="514" ht="13.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</row>
    <row r="515" ht="13.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</row>
    <row r="516" ht="13.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</row>
    <row r="517" ht="13.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</row>
    <row r="518" ht="13.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</row>
    <row r="519" ht="13.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</row>
    <row r="520" ht="13.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</row>
    <row r="521" ht="13.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</row>
    <row r="522" ht="13.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</row>
    <row r="523" ht="13.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</row>
    <row r="524" ht="13.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</row>
    <row r="525" ht="13.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</row>
    <row r="526" ht="13.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</row>
    <row r="527" ht="13.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</row>
    <row r="528" ht="13.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</row>
    <row r="529" ht="13.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</row>
    <row r="530" ht="13.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</row>
    <row r="531" ht="13.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</row>
    <row r="532" ht="13.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</row>
    <row r="533" ht="13.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</row>
    <row r="534" ht="13.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</row>
    <row r="535" ht="13.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</row>
    <row r="536" ht="13.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</row>
    <row r="537" ht="13.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</row>
    <row r="538" ht="13.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</row>
    <row r="539" ht="13.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</row>
    <row r="540" ht="13.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</row>
    <row r="541" ht="13.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</row>
    <row r="542" ht="13.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</row>
    <row r="543" ht="13.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</row>
    <row r="544" ht="13.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</row>
    <row r="545" ht="13.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</row>
    <row r="546" ht="13.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</row>
    <row r="547" ht="13.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</row>
    <row r="548" ht="13.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</row>
    <row r="549" ht="13.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</row>
    <row r="550" ht="13.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</row>
    <row r="551" ht="13.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</row>
    <row r="552" ht="13.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</row>
    <row r="553" ht="13.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</row>
    <row r="554" ht="13.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</row>
    <row r="555" ht="13.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</row>
    <row r="556" ht="13.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</row>
    <row r="557" ht="13.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</row>
    <row r="558" ht="13.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</row>
    <row r="559" ht="13.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</row>
    <row r="560" ht="13.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</row>
    <row r="561" ht="13.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</row>
    <row r="562" ht="13.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</row>
    <row r="563" ht="13.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</row>
    <row r="564" ht="13.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</row>
    <row r="565" ht="13.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</row>
    <row r="566" ht="13.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</row>
    <row r="567" ht="13.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</row>
    <row r="568" ht="13.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</row>
    <row r="569" ht="13.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</row>
    <row r="570" ht="13.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</row>
    <row r="571" ht="13.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</row>
    <row r="572" ht="13.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</row>
    <row r="573" ht="13.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</row>
    <row r="574" ht="13.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</row>
    <row r="575" ht="13.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</row>
    <row r="576" ht="13.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</row>
    <row r="577" ht="13.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</row>
    <row r="578" ht="13.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</row>
    <row r="579" ht="13.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</row>
    <row r="580" ht="13.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</row>
    <row r="581" ht="13.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</row>
    <row r="582" ht="13.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</row>
    <row r="583" ht="13.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</row>
    <row r="584" ht="13.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</row>
    <row r="585" ht="13.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</row>
    <row r="586" ht="13.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</row>
    <row r="587" ht="13.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</row>
    <row r="588" ht="13.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</row>
    <row r="589" ht="13.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</row>
    <row r="590" ht="13.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</row>
    <row r="591" ht="13.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</row>
    <row r="592" ht="13.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</row>
    <row r="593" ht="13.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</row>
    <row r="594" ht="13.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</row>
    <row r="595" ht="13.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</row>
    <row r="596" ht="13.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</row>
    <row r="597" ht="13.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</row>
    <row r="598" ht="13.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</row>
    <row r="599" ht="13.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</row>
    <row r="600" ht="13.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</row>
    <row r="601" ht="13.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</row>
    <row r="602" ht="13.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</row>
    <row r="603" ht="13.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</row>
    <row r="604" ht="13.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</row>
    <row r="605" ht="13.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</row>
    <row r="606" ht="13.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</row>
    <row r="607" ht="13.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</row>
    <row r="608" ht="13.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</row>
    <row r="609" ht="13.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</row>
    <row r="610" ht="13.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</row>
    <row r="611" ht="13.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</row>
    <row r="612" ht="13.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</row>
    <row r="613" ht="13.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</row>
    <row r="614" ht="13.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</row>
    <row r="615" ht="13.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</row>
    <row r="616" ht="13.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</row>
    <row r="617" ht="13.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</row>
    <row r="618" ht="13.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</row>
    <row r="619" ht="13.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</row>
    <row r="620" ht="13.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</row>
    <row r="621" ht="13.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</row>
    <row r="622" ht="13.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</row>
    <row r="623" ht="13.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</row>
    <row r="624" ht="13.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</row>
    <row r="625" ht="13.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</row>
    <row r="626" ht="13.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</row>
    <row r="627" ht="13.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</row>
    <row r="628" ht="13.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</row>
    <row r="629" ht="13.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</row>
    <row r="630" ht="13.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</row>
    <row r="631" ht="13.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</row>
    <row r="632" ht="13.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</row>
    <row r="633" ht="13.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</row>
    <row r="634" ht="13.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</row>
    <row r="635" ht="13.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</row>
    <row r="636" ht="13.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</row>
    <row r="637" ht="13.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</row>
    <row r="638" ht="13.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</row>
    <row r="639" ht="13.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</row>
    <row r="640" ht="13.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</row>
    <row r="641" ht="13.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</row>
    <row r="642" ht="13.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</row>
    <row r="643" ht="13.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</row>
    <row r="644" ht="13.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</row>
    <row r="645" ht="13.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</row>
    <row r="646" ht="13.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</row>
    <row r="647" ht="13.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</row>
    <row r="648" ht="13.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</row>
    <row r="649" ht="13.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</row>
    <row r="650" ht="13.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</row>
    <row r="651" ht="13.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</row>
    <row r="652" ht="13.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</row>
    <row r="653" ht="13.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</row>
    <row r="654" ht="13.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</row>
    <row r="655" ht="13.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</row>
    <row r="656" ht="13.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</row>
    <row r="657" ht="13.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</row>
    <row r="658" ht="13.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</row>
    <row r="659" ht="13.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</row>
    <row r="660" ht="13.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</row>
    <row r="661" ht="13.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</row>
    <row r="662" ht="13.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</row>
    <row r="663" ht="13.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</row>
    <row r="664" ht="13.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</row>
    <row r="665" ht="13.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</row>
    <row r="666" ht="13.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</row>
    <row r="667" ht="13.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</row>
    <row r="668" ht="13.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</row>
    <row r="669" ht="13.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</row>
    <row r="670" ht="13.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</row>
    <row r="671" ht="13.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</row>
    <row r="672" ht="13.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</row>
    <row r="673" ht="13.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</row>
    <row r="674" ht="13.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</row>
    <row r="675" ht="13.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</row>
    <row r="676" ht="13.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</row>
    <row r="677" ht="13.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</row>
    <row r="678" ht="13.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</row>
    <row r="679" ht="13.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</row>
    <row r="680" ht="13.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</row>
    <row r="681" ht="13.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</row>
    <row r="682" ht="13.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</row>
    <row r="683" ht="13.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</row>
    <row r="684" ht="13.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</row>
    <row r="685" ht="13.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</row>
    <row r="686" ht="13.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</row>
    <row r="687" ht="13.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</row>
    <row r="688" ht="13.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</row>
    <row r="689" ht="13.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</row>
    <row r="690" ht="13.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</row>
    <row r="691" ht="13.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</row>
    <row r="692" ht="13.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</row>
    <row r="693" ht="13.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</row>
    <row r="694" ht="13.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</row>
    <row r="695" ht="13.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</row>
    <row r="696" ht="13.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</row>
    <row r="697" ht="13.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</row>
    <row r="698" ht="13.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</row>
    <row r="699" ht="13.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</row>
    <row r="700" ht="13.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</row>
    <row r="701" ht="13.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</row>
    <row r="702" ht="13.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</row>
    <row r="703" ht="13.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</row>
    <row r="704" ht="13.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</row>
    <row r="705" ht="13.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</row>
    <row r="706" ht="13.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</row>
    <row r="707" ht="13.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</row>
    <row r="708" ht="13.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</row>
    <row r="709" ht="13.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</row>
    <row r="710" ht="13.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</row>
    <row r="711" ht="13.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</row>
    <row r="712" ht="13.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</row>
    <row r="713" ht="13.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</row>
    <row r="714" ht="13.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</row>
    <row r="715" ht="13.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</row>
    <row r="716" ht="13.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</row>
    <row r="717" ht="13.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</row>
    <row r="718" ht="13.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</row>
    <row r="719" ht="13.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</row>
    <row r="720" ht="13.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</row>
    <row r="721" ht="13.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</row>
    <row r="722" ht="13.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</row>
    <row r="723" ht="13.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</row>
    <row r="724" ht="13.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</row>
    <row r="725" ht="13.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</row>
    <row r="726" ht="13.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</row>
    <row r="727" ht="13.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</row>
    <row r="728" ht="13.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</row>
    <row r="729" ht="13.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</row>
    <row r="730" ht="13.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</row>
    <row r="731" ht="13.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</row>
    <row r="732" ht="13.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</row>
    <row r="733" ht="13.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</row>
    <row r="734" ht="13.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</row>
    <row r="735" ht="13.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</row>
    <row r="736" ht="13.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</row>
    <row r="737" ht="13.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</row>
    <row r="738" ht="13.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</row>
    <row r="739" ht="13.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</row>
    <row r="740" ht="13.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</row>
    <row r="741" ht="13.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</row>
    <row r="742" ht="13.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</row>
    <row r="743" ht="13.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</row>
    <row r="744" ht="13.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</row>
    <row r="745" ht="13.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</row>
    <row r="746" ht="13.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</row>
    <row r="747" ht="13.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</row>
    <row r="748" ht="13.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</row>
    <row r="749" ht="13.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</row>
    <row r="750" ht="13.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</row>
    <row r="751" ht="13.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</row>
    <row r="752" ht="13.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</row>
    <row r="753" ht="13.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</row>
    <row r="754" ht="13.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</row>
    <row r="755" ht="13.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</row>
    <row r="756" ht="13.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</row>
    <row r="757" ht="13.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</row>
    <row r="758" ht="13.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</row>
    <row r="759" ht="13.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</row>
    <row r="760" ht="13.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</row>
    <row r="761" ht="13.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</row>
    <row r="762" ht="13.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</row>
    <row r="763" ht="13.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</row>
    <row r="764" ht="13.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</row>
    <row r="765" ht="13.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</row>
    <row r="766" ht="13.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</row>
    <row r="767" ht="13.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</row>
    <row r="768" ht="13.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</row>
    <row r="769" ht="13.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</row>
    <row r="770" ht="13.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</row>
    <row r="771" ht="13.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</row>
    <row r="772" ht="13.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</row>
    <row r="773" ht="13.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</row>
    <row r="774" ht="13.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</row>
    <row r="775" ht="13.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</row>
    <row r="776" ht="13.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</row>
    <row r="777" ht="13.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</row>
    <row r="778" ht="13.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</row>
    <row r="779" ht="13.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</row>
    <row r="780" ht="13.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</row>
    <row r="781" ht="13.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</row>
    <row r="782" ht="13.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</row>
    <row r="783" ht="13.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</row>
    <row r="784" ht="13.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</row>
    <row r="785" ht="13.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</row>
    <row r="786" ht="13.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</row>
    <row r="787" ht="13.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</row>
    <row r="788" ht="13.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</row>
    <row r="789" ht="13.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</row>
    <row r="790" ht="13.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</row>
    <row r="791" ht="13.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</row>
    <row r="792" ht="13.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</row>
    <row r="793" ht="13.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</row>
    <row r="794" ht="13.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</row>
    <row r="795" ht="13.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</row>
    <row r="796" ht="13.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</row>
    <row r="797" ht="13.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</row>
    <row r="798" ht="13.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</row>
    <row r="799" ht="13.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</row>
    <row r="800" ht="13.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</row>
    <row r="801" ht="13.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</row>
    <row r="802" ht="13.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</row>
    <row r="803" ht="13.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</row>
    <row r="804" ht="13.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</row>
    <row r="805" ht="13.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</row>
    <row r="806" ht="13.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</row>
    <row r="807" ht="13.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</row>
    <row r="808" ht="13.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</row>
    <row r="809" ht="13.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</row>
    <row r="810" ht="13.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</row>
    <row r="811" ht="13.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</row>
    <row r="812" ht="13.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</row>
    <row r="813" ht="13.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</row>
    <row r="814" ht="13.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</row>
    <row r="815" ht="13.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</row>
    <row r="816" ht="13.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</row>
    <row r="817" ht="13.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</row>
    <row r="818" ht="13.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</row>
    <row r="819" ht="13.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</row>
    <row r="820" ht="13.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</row>
    <row r="821" ht="13.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</row>
    <row r="822" ht="13.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</row>
    <row r="823" ht="13.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</row>
    <row r="824" ht="13.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</row>
    <row r="825" ht="13.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</row>
    <row r="826" ht="13.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</row>
    <row r="827" ht="13.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</row>
    <row r="828" ht="13.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</row>
    <row r="829" ht="13.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</row>
    <row r="830" ht="13.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</row>
    <row r="831" ht="13.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</row>
    <row r="832" ht="13.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</row>
    <row r="833" ht="13.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</row>
    <row r="834" ht="13.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</row>
    <row r="835" ht="13.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</row>
    <row r="836" ht="13.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</row>
    <row r="837" ht="13.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</row>
    <row r="838" ht="13.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</row>
    <row r="839" ht="13.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</row>
    <row r="840" ht="13.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</row>
    <row r="841" ht="13.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</row>
    <row r="842" ht="13.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</row>
    <row r="843" ht="13.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</row>
    <row r="844" ht="13.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</row>
    <row r="845" ht="13.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</row>
    <row r="846" ht="13.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</row>
    <row r="847" ht="13.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</row>
    <row r="848" ht="13.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</row>
    <row r="849" ht="13.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</row>
    <row r="850" ht="13.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</row>
    <row r="851" ht="13.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</row>
    <row r="852" ht="13.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</row>
    <row r="853" ht="13.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</row>
    <row r="854" ht="13.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</row>
    <row r="855" ht="13.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</row>
    <row r="856" ht="13.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</row>
    <row r="857" ht="13.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</row>
    <row r="858" ht="13.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</row>
    <row r="859" ht="13.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</row>
    <row r="860" ht="13.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</row>
    <row r="861" ht="13.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</row>
    <row r="862" ht="13.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</row>
    <row r="863" ht="13.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</row>
    <row r="864" ht="13.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</row>
    <row r="865" ht="13.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</row>
    <row r="866" ht="13.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</row>
    <row r="867" ht="13.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</row>
    <row r="868" ht="13.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</row>
    <row r="869" ht="13.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</row>
    <row r="870" ht="13.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</row>
    <row r="871" ht="13.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</row>
    <row r="872" ht="13.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</row>
    <row r="873" ht="13.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</row>
    <row r="874" ht="13.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</row>
    <row r="875" ht="13.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</row>
    <row r="876" ht="13.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</row>
    <row r="877" ht="13.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</row>
    <row r="878" ht="13.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</row>
    <row r="879" ht="13.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</row>
    <row r="880" ht="13.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</row>
    <row r="881" ht="13.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</row>
    <row r="882" ht="13.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</row>
    <row r="883" ht="13.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</row>
    <row r="884" ht="13.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</row>
    <row r="885" ht="13.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</row>
    <row r="886" ht="13.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</row>
    <row r="887" ht="13.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</row>
    <row r="888" ht="13.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</row>
    <row r="889" ht="13.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</row>
    <row r="890" ht="13.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</row>
    <row r="891" ht="13.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</row>
    <row r="892" ht="13.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</row>
    <row r="893" ht="13.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</row>
    <row r="894" ht="13.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</row>
    <row r="895" ht="13.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</row>
    <row r="896" ht="13.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</row>
    <row r="897" ht="13.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</row>
    <row r="898" ht="13.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</row>
    <row r="899" ht="13.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</row>
    <row r="900" ht="13.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</row>
    <row r="901" ht="13.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</row>
    <row r="902" ht="13.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</row>
    <row r="903" ht="13.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</row>
    <row r="904" ht="13.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</row>
    <row r="905" ht="13.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</row>
    <row r="906" ht="13.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</row>
    <row r="907" ht="13.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</row>
    <row r="908" ht="13.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</row>
    <row r="909" ht="13.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</row>
    <row r="910" ht="13.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</row>
    <row r="911" ht="13.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</row>
    <row r="912" ht="13.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</row>
    <row r="913" ht="13.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</row>
    <row r="914" ht="13.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</row>
    <row r="915" ht="13.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</row>
    <row r="916" ht="13.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</row>
    <row r="917" ht="13.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</row>
    <row r="918" ht="13.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</row>
    <row r="919" ht="13.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</row>
    <row r="920" ht="13.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</row>
    <row r="921" ht="13.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</row>
    <row r="922" ht="13.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</row>
    <row r="923" ht="13.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</row>
    <row r="924" ht="13.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</row>
    <row r="925" ht="13.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</row>
    <row r="926" ht="13.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</row>
    <row r="927" ht="13.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</row>
    <row r="928" ht="13.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</row>
    <row r="929" ht="13.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</row>
    <row r="930" ht="13.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</row>
    <row r="931" ht="13.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</row>
    <row r="932" ht="13.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</row>
    <row r="933" ht="13.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</row>
    <row r="934" ht="13.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</row>
    <row r="935" ht="13.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</row>
    <row r="936" ht="13.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</row>
    <row r="937" ht="13.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</row>
    <row r="938" ht="13.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</row>
    <row r="939" ht="13.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</row>
    <row r="940" ht="13.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</row>
    <row r="941" ht="13.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</row>
    <row r="942" ht="13.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</row>
    <row r="943" ht="13.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</row>
    <row r="944" ht="13.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</row>
    <row r="945" ht="13.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</row>
    <row r="946" ht="13.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</row>
    <row r="947" ht="13.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</row>
    <row r="948" ht="13.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</row>
    <row r="949" ht="13.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</row>
    <row r="950" ht="13.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</row>
    <row r="951" ht="13.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</row>
    <row r="952" ht="13.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</row>
    <row r="953" ht="13.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</row>
    <row r="954" ht="13.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</row>
    <row r="955" ht="13.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</row>
    <row r="956" ht="13.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</row>
    <row r="957" ht="13.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</row>
    <row r="958" ht="13.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</row>
    <row r="959" ht="13.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</row>
    <row r="960" ht="13.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</row>
    <row r="961" ht="13.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</row>
    <row r="962" ht="13.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</row>
    <row r="963" ht="13.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</row>
    <row r="964" ht="13.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</row>
    <row r="965" ht="13.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</row>
    <row r="966" ht="13.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</row>
    <row r="967" ht="13.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</row>
    <row r="968" ht="13.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</row>
    <row r="969" ht="13.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</row>
    <row r="970" ht="13.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</row>
    <row r="971" ht="13.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</row>
    <row r="972" ht="13.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</row>
    <row r="973" ht="13.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</row>
    <row r="974" ht="13.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</row>
    <row r="975" ht="13.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</row>
    <row r="976" ht="13.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</row>
    <row r="977" ht="13.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</row>
    <row r="978" ht="13.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</row>
    <row r="979" ht="13.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</row>
    <row r="980" ht="13.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</row>
    <row r="981" ht="13.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</row>
    <row r="982" ht="13.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</row>
    <row r="983" ht="13.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</row>
    <row r="984" ht="13.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</row>
    <row r="985" ht="13.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</row>
    <row r="986" ht="13.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</row>
    <row r="987" ht="13.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</row>
    <row r="988" ht="13.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</row>
    <row r="989" ht="13.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</row>
    <row r="990" ht="13.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</row>
    <row r="991" ht="13.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</row>
    <row r="992" ht="13.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</row>
    <row r="993" ht="13.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</row>
    <row r="994" ht="13.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</row>
    <row r="995" ht="13.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</row>
    <row r="996" ht="13.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</row>
    <row r="997" ht="13.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</row>
    <row r="998" ht="13.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</row>
    <row r="999" ht="13.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</row>
    <row r="1000" ht="13.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</row>
  </sheetData>
  <mergeCells count="64">
    <mergeCell ref="C22:D23"/>
    <mergeCell ref="E22:E23"/>
    <mergeCell ref="F22:F23"/>
    <mergeCell ref="G22:G23"/>
    <mergeCell ref="H22:H23"/>
    <mergeCell ref="J22:J23"/>
    <mergeCell ref="K22:K23"/>
    <mergeCell ref="N22:O23"/>
    <mergeCell ref="P22:P23"/>
    <mergeCell ref="Q22:Q23"/>
    <mergeCell ref="R22:R23"/>
    <mergeCell ref="S22:S23"/>
    <mergeCell ref="T22:T23"/>
    <mergeCell ref="U22:U23"/>
    <mergeCell ref="L304:M304"/>
    <mergeCell ref="L305:M305"/>
    <mergeCell ref="L306:M306"/>
    <mergeCell ref="L307:M307"/>
    <mergeCell ref="N6:N7"/>
    <mergeCell ref="N8:N9"/>
    <mergeCell ref="L299:M299"/>
    <mergeCell ref="L300:M300"/>
    <mergeCell ref="L301:M301"/>
    <mergeCell ref="L302:M302"/>
    <mergeCell ref="L303:M303"/>
    <mergeCell ref="N4:O5"/>
    <mergeCell ref="N10:N11"/>
    <mergeCell ref="E3:H3"/>
    <mergeCell ref="C4:D5"/>
    <mergeCell ref="E4:K4"/>
    <mergeCell ref="P4:U4"/>
    <mergeCell ref="C6:C7"/>
    <mergeCell ref="C8:C9"/>
    <mergeCell ref="C10:C11"/>
    <mergeCell ref="C12:C13"/>
    <mergeCell ref="N12:N13"/>
    <mergeCell ref="C14:C15"/>
    <mergeCell ref="N14:N15"/>
    <mergeCell ref="C16:C17"/>
    <mergeCell ref="N16:N17"/>
    <mergeCell ref="N18:N19"/>
    <mergeCell ref="K20:K21"/>
    <mergeCell ref="N20:O21"/>
    <mergeCell ref="P20:P21"/>
    <mergeCell ref="Q20:Q21"/>
    <mergeCell ref="R20:R21"/>
    <mergeCell ref="S20:S21"/>
    <mergeCell ref="T20:T21"/>
    <mergeCell ref="U20:U21"/>
    <mergeCell ref="J29:P30"/>
    <mergeCell ref="J31:P32"/>
    <mergeCell ref="C56:E56"/>
    <mergeCell ref="G76:L76"/>
    <mergeCell ref="E82:F85"/>
    <mergeCell ref="G83:J83"/>
    <mergeCell ref="E86:G88"/>
    <mergeCell ref="H87:L87"/>
    <mergeCell ref="C18:C19"/>
    <mergeCell ref="C20:D21"/>
    <mergeCell ref="E20:E21"/>
    <mergeCell ref="F20:F21"/>
    <mergeCell ref="G20:G21"/>
    <mergeCell ref="H20:H21"/>
    <mergeCell ref="J20:J21"/>
  </mergeCells>
  <dataValidations>
    <dataValidation type="list" allowBlank="1" showErrorMessage="1" sqref="F60">
      <formula1>"15,20,25,30,35,40"</formula1>
    </dataValidation>
  </dataValidations>
  <printOptions/>
  <pageMargins bottom="0.75" footer="0.0" header="0.0" left="0.7" right="0.7" top="0.75"/>
  <pageSetup paperSize="8" orientation="landscape"/>
  <drawing r:id="rId1"/>
  <legacyDrawing r:id="rId2"/>
  <oleObjects>
    <oleObject progId="Equation.DSMT4" shapeId="4106" r:id="rId3"/>
    <oleObject progId="Equation.DSMT4" shapeId="4105" r:id="rId4"/>
    <oleObject progId="Equation.DSMT4" shapeId="4104" r:id="rId5"/>
    <oleObject progId="Equation.3" shapeId="4103" r:id="rId6"/>
    <oleObject progId="Equation.3" shapeId="4102" r:id="rId7"/>
    <oleObject progId="Equation.3" shapeId="4101" r:id="rId8"/>
    <oleObject progId="Equation.3" shapeId="4100" r:id="rId9"/>
    <oleObject progId="Equation.3" shapeId="4099" r:id="rId10"/>
    <oleObject progId="Equation.3" shapeId="4098" r:id="rId11"/>
    <oleObject progId="Equation.3" shapeId="4097" r:id="rId12"/>
  </oleObjec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2014-10-13T10:55:17Z</dcterms:created>
  <dc:creator>khanh</dc:creator>
</cp:coreProperties>
</file>